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Ibayi\OneDrive - CGIAR\work\AMR work\ODK\"/>
    </mc:Choice>
  </mc:AlternateContent>
  <xr:revisionPtr revIDLastSave="0" documentId="13_ncr:1_{00E4B812-46C6-4757-B501-8A5961BDD246}" xr6:coauthVersionLast="47" xr6:coauthVersionMax="47" xr10:uidLastSave="{00000000-0000-0000-0000-000000000000}"/>
  <bookViews>
    <workbookView xWindow="-120" yWindow="-120" windowWidth="29040" windowHeight="15720" xr2:uid="{00000000-000D-0000-FFFF-FFFF00000000}"/>
  </bookViews>
  <sheets>
    <sheet name="survey" sheetId="1" r:id="rId1"/>
    <sheet name="choices" sheetId="2" r:id="rId2"/>
    <sheet name="settings" sheetId="3" r:id="rId3"/>
    <sheet name="external_choices" sheetId="4" r:id="rId4"/>
  </sheets>
  <definedNames>
    <definedName name="_xlnm._FilterDatabase" localSheetId="1" hidden="1">choices!$A$1:$D$674</definedName>
    <definedName name="_xlnm._FilterDatabase" localSheetId="0" hidden="1">survey!$A$1:$S$669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0" i="1" l="1"/>
  <c r="F329" i="1"/>
  <c r="F328" i="1"/>
  <c r="F327" i="1"/>
  <c r="F326" i="1"/>
  <c r="F557" i="1"/>
  <c r="F556" i="1"/>
  <c r="F555" i="1"/>
  <c r="F554" i="1"/>
  <c r="F553" i="1"/>
  <c r="F552" i="1"/>
  <c r="F551" i="1"/>
  <c r="F543" i="1"/>
  <c r="F542" i="1"/>
  <c r="F541" i="1"/>
  <c r="F540" i="1"/>
  <c r="F539" i="1"/>
  <c r="F538" i="1"/>
  <c r="F537" i="1"/>
  <c r="F536" i="1"/>
  <c r="F535" i="1"/>
  <c r="F522" i="1"/>
  <c r="F525" i="1"/>
  <c r="F524" i="1"/>
  <c r="F523" i="1"/>
  <c r="F521" i="1"/>
  <c r="F520" i="1"/>
  <c r="F519" i="1"/>
  <c r="F651" i="1"/>
  <c r="F650" i="1"/>
  <c r="F649" i="1"/>
  <c r="F647" i="1"/>
  <c r="F646" i="1"/>
  <c r="F645" i="1"/>
  <c r="F644" i="1"/>
  <c r="F643" i="1"/>
  <c r="F641" i="1"/>
  <c r="F640" i="1"/>
  <c r="F639" i="1"/>
  <c r="F642" i="1"/>
  <c r="F617" i="1"/>
  <c r="F616" i="1"/>
  <c r="F615" i="1"/>
  <c r="F614" i="1"/>
  <c r="F504" i="1"/>
  <c r="F436" i="1"/>
  <c r="F506" i="1"/>
  <c r="F613" i="1"/>
  <c r="F611" i="1"/>
  <c r="F609" i="1"/>
  <c r="F608" i="1"/>
  <c r="F601" i="1"/>
  <c r="F600" i="1"/>
  <c r="F581" i="1"/>
  <c r="F595" i="1"/>
  <c r="F594" i="1"/>
  <c r="F593" i="1"/>
  <c r="F592" i="1"/>
  <c r="F591" i="1"/>
  <c r="F590" i="1"/>
  <c r="F582" i="1"/>
  <c r="F576" i="1"/>
  <c r="F575" i="1"/>
  <c r="F574" i="1"/>
  <c r="F573" i="1"/>
  <c r="F572" i="1"/>
  <c r="F571" i="1"/>
  <c r="F570" i="1"/>
  <c r="F505" i="1"/>
  <c r="F511" i="1"/>
  <c r="F569" i="1"/>
  <c r="F510" i="1"/>
  <c r="F509" i="1"/>
  <c r="F508" i="1"/>
  <c r="F507" i="1"/>
  <c r="F491" i="1"/>
  <c r="F490" i="1"/>
  <c r="F489" i="1"/>
  <c r="F488" i="1"/>
  <c r="F487" i="1"/>
  <c r="F462" i="1" l="1"/>
  <c r="F461" i="1"/>
  <c r="F460" i="1"/>
  <c r="F459" i="1"/>
  <c r="G459" i="1" s="1"/>
  <c r="F458" i="1"/>
  <c r="F457" i="1"/>
  <c r="G457" i="1" s="1"/>
  <c r="F468" i="1"/>
  <c r="G468" i="1" s="1"/>
  <c r="F467" i="1"/>
  <c r="G467" i="1" s="1"/>
  <c r="M61" i="1"/>
  <c r="M60" i="1"/>
  <c r="F449" i="1"/>
  <c r="F448" i="1"/>
  <c r="F443" i="1"/>
  <c r="F442" i="1"/>
  <c r="F441" i="1"/>
  <c r="F127" i="1"/>
  <c r="F440" i="1"/>
  <c r="F439" i="1"/>
  <c r="F438" i="1"/>
  <c r="G438" i="1" s="1"/>
  <c r="F437" i="1"/>
  <c r="F429" i="1"/>
  <c r="F428" i="1"/>
  <c r="F427" i="1"/>
  <c r="F426" i="1"/>
  <c r="G462" i="1"/>
  <c r="G460" i="1"/>
  <c r="G441" i="1"/>
  <c r="G429" i="1"/>
  <c r="G427" i="1"/>
  <c r="F421" i="1"/>
  <c r="G421" i="1" s="1"/>
  <c r="F396" i="1"/>
  <c r="F395" i="1"/>
  <c r="G395" i="1" s="1"/>
  <c r="F394" i="1"/>
  <c r="F393" i="1"/>
  <c r="F392" i="1"/>
  <c r="F391" i="1"/>
  <c r="F390" i="1"/>
  <c r="F389" i="1"/>
  <c r="F382" i="1"/>
  <c r="G382" i="1" s="1"/>
  <c r="F381" i="1"/>
  <c r="F380" i="1"/>
  <c r="F379" i="1"/>
  <c r="G379" i="1" s="1"/>
  <c r="F378" i="1"/>
  <c r="F102" i="1"/>
  <c r="F101" i="1"/>
  <c r="F100" i="1"/>
  <c r="G100" i="1" s="1"/>
  <c r="F402" i="1"/>
  <c r="F420" i="1"/>
  <c r="F415" i="1"/>
  <c r="F412" i="1"/>
  <c r="G412" i="1" s="1"/>
  <c r="F414" i="1"/>
  <c r="G414" i="1"/>
  <c r="F413" i="1"/>
  <c r="F411" i="1"/>
  <c r="F410" i="1"/>
  <c r="G402" i="1"/>
  <c r="F401" i="1"/>
  <c r="F369" i="1"/>
  <c r="F368" i="1"/>
  <c r="F363" i="1"/>
  <c r="F362" i="1"/>
  <c r="F361" i="1"/>
  <c r="F318" i="1"/>
  <c r="F360" i="1"/>
  <c r="F317" i="1"/>
  <c r="F312" i="1"/>
  <c r="G312" i="1" s="1"/>
  <c r="F311" i="1"/>
  <c r="F310" i="1"/>
  <c r="G310" i="1" s="1"/>
  <c r="F309" i="1"/>
  <c r="F308" i="1"/>
  <c r="F307" i="1"/>
  <c r="F299" i="1"/>
  <c r="F359" i="1"/>
  <c r="G359" i="1" s="1"/>
  <c r="F298" i="1"/>
  <c r="F358" i="1"/>
  <c r="F293" i="1"/>
  <c r="F292" i="1"/>
  <c r="F291" i="1"/>
  <c r="F290" i="1"/>
  <c r="F289" i="1"/>
  <c r="F350" i="1"/>
  <c r="G350" i="1" s="1"/>
  <c r="F349" i="1"/>
  <c r="G349" i="1" s="1"/>
  <c r="F288" i="1"/>
  <c r="G288" i="1" s="1"/>
  <c r="F287" i="1"/>
  <c r="F239" i="1"/>
  <c r="F286" i="1"/>
  <c r="F238" i="1"/>
  <c r="F279" i="1"/>
  <c r="G279" i="1" s="1"/>
  <c r="F278" i="1"/>
  <c r="F277" i="1"/>
  <c r="F344" i="1"/>
  <c r="F343" i="1"/>
  <c r="F342" i="1"/>
  <c r="F341" i="1"/>
  <c r="G341" i="1" s="1"/>
  <c r="F339" i="1"/>
  <c r="F276" i="1"/>
  <c r="G276" i="1" s="1"/>
  <c r="F275" i="1"/>
  <c r="F271" i="1"/>
  <c r="F252" i="1"/>
  <c r="G252" i="1" s="1"/>
  <c r="F270" i="1"/>
  <c r="F251" i="1"/>
  <c r="G251" i="1" s="1"/>
  <c r="G270" i="1"/>
  <c r="G311" i="1"/>
  <c r="G292" i="1"/>
  <c r="G277" i="1"/>
  <c r="G275" i="1"/>
  <c r="F340" i="1"/>
  <c r="F338" i="1"/>
  <c r="F337" i="1"/>
  <c r="F265" i="1"/>
  <c r="F246" i="1"/>
  <c r="G246" i="1" s="1"/>
  <c r="F264" i="1"/>
  <c r="F263" i="1"/>
  <c r="F262" i="1"/>
  <c r="F261" i="1"/>
  <c r="F187" i="1"/>
  <c r="F186" i="1"/>
  <c r="F185" i="1"/>
  <c r="F180" i="1"/>
  <c r="F179" i="1"/>
  <c r="F178" i="1"/>
  <c r="F176" i="1"/>
  <c r="F146" i="1"/>
  <c r="F141" i="1"/>
  <c r="F140" i="1"/>
  <c r="F139" i="1"/>
  <c r="F138" i="1"/>
  <c r="F137" i="1"/>
  <c r="F134" i="1"/>
  <c r="F133" i="1"/>
  <c r="F130" i="1"/>
  <c r="F132" i="1"/>
  <c r="F131" i="1"/>
  <c r="F129" i="1"/>
  <c r="F128" i="1"/>
  <c r="F126" i="1"/>
  <c r="F260" i="1"/>
  <c r="G264" i="1"/>
  <c r="G262" i="1"/>
  <c r="F245" i="1"/>
  <c r="F244" i="1"/>
  <c r="F243" i="1"/>
  <c r="G243" i="1" s="1"/>
  <c r="F242" i="1"/>
  <c r="G242" i="1" s="1"/>
  <c r="F241" i="1"/>
  <c r="G241" i="1" s="1"/>
  <c r="F240" i="1"/>
  <c r="G240" i="1" s="1"/>
  <c r="F229" i="1"/>
  <c r="G229" i="1" s="1"/>
  <c r="G239" i="1"/>
  <c r="F231" i="1"/>
  <c r="G231" i="1" s="1"/>
  <c r="F230" i="1"/>
  <c r="F228" i="1"/>
  <c r="F227" i="1"/>
  <c r="G230" i="1"/>
  <c r="G228" i="1"/>
  <c r="E114" i="1"/>
  <c r="F99" i="1"/>
  <c r="F98" i="1"/>
  <c r="F38" i="1"/>
  <c r="F37" i="1"/>
  <c r="F36" i="1"/>
  <c r="F35" i="1"/>
  <c r="F34" i="1"/>
  <c r="G2" i="1"/>
  <c r="E143" i="1"/>
  <c r="E142" i="1"/>
  <c r="M143" i="1"/>
  <c r="M142" i="1"/>
  <c r="M138" i="1"/>
  <c r="G143" i="1"/>
  <c r="G142" i="1"/>
  <c r="G662" i="1"/>
  <c r="G661" i="1"/>
  <c r="G660" i="1"/>
  <c r="G659" i="1"/>
  <c r="G658" i="1"/>
  <c r="G657" i="1"/>
  <c r="G656" i="1"/>
  <c r="E662" i="1"/>
  <c r="M667" i="1"/>
  <c r="E661" i="1"/>
  <c r="E660" i="1"/>
  <c r="E659" i="1"/>
  <c r="E658" i="1"/>
  <c r="E657" i="1"/>
  <c r="E656" i="1"/>
  <c r="G666" i="1"/>
  <c r="E666" i="1"/>
  <c r="G667" i="1"/>
  <c r="E667" i="1"/>
  <c r="G665" i="1"/>
  <c r="E665" i="1"/>
  <c r="G664" i="1"/>
  <c r="E664" i="1"/>
  <c r="G663" i="1"/>
  <c r="E663" i="1"/>
  <c r="G655" i="1"/>
  <c r="E655" i="1"/>
  <c r="G634" i="1"/>
  <c r="E634" i="1"/>
  <c r="G633" i="1"/>
  <c r="E633" i="1"/>
  <c r="M655" i="1"/>
  <c r="G627" i="1"/>
  <c r="E627" i="1"/>
  <c r="G631" i="1"/>
  <c r="G630" i="1"/>
  <c r="G629" i="1"/>
  <c r="G628" i="1"/>
  <c r="E631" i="1"/>
  <c r="E630" i="1"/>
  <c r="M631" i="1"/>
  <c r="E629" i="1"/>
  <c r="E628" i="1"/>
  <c r="M629" i="1"/>
  <c r="E643" i="1"/>
  <c r="E642" i="1"/>
  <c r="E233" i="1"/>
  <c r="P235" i="1"/>
  <c r="G233" i="1"/>
  <c r="E249" i="1"/>
  <c r="E268" i="1"/>
  <c r="E296" i="1"/>
  <c r="E315" i="1"/>
  <c r="E347" i="1"/>
  <c r="E366" i="1"/>
  <c r="E399" i="1"/>
  <c r="E418" i="1"/>
  <c r="E446" i="1"/>
  <c r="E465" i="1"/>
  <c r="E598" i="1"/>
  <c r="G601" i="1"/>
  <c r="E579" i="1"/>
  <c r="J49" i="1"/>
  <c r="E570" i="1"/>
  <c r="E569" i="1"/>
  <c r="M570" i="1"/>
  <c r="E536" i="1"/>
  <c r="E535" i="1"/>
  <c r="M536" i="1"/>
  <c r="E505" i="1"/>
  <c r="E504" i="1"/>
  <c r="M505" i="1"/>
  <c r="E437" i="1"/>
  <c r="E436" i="1"/>
  <c r="E390" i="1"/>
  <c r="E389" i="1"/>
  <c r="M390" i="1"/>
  <c r="E338" i="1"/>
  <c r="E337" i="1"/>
  <c r="M338" i="1"/>
  <c r="E287" i="1"/>
  <c r="E286" i="1"/>
  <c r="M287" i="1"/>
  <c r="E239" i="1"/>
  <c r="E238" i="1"/>
  <c r="M239" i="1"/>
  <c r="G648" i="1"/>
  <c r="E648" i="1"/>
  <c r="G528" i="1"/>
  <c r="E528" i="1"/>
  <c r="M529" i="1"/>
  <c r="E525" i="1"/>
  <c r="E524" i="1"/>
  <c r="E523" i="1"/>
  <c r="E522" i="1"/>
  <c r="M523" i="1"/>
  <c r="E521" i="1"/>
  <c r="E520" i="1"/>
  <c r="E519" i="1"/>
  <c r="G518" i="1"/>
  <c r="E518" i="1"/>
  <c r="E517" i="1"/>
  <c r="G523" i="1"/>
  <c r="E516" i="1"/>
  <c r="G515" i="1"/>
  <c r="E515" i="1"/>
  <c r="G514" i="1"/>
  <c r="E514" i="1"/>
  <c r="O515" i="1"/>
  <c r="E511" i="1"/>
  <c r="E510" i="1"/>
  <c r="E509" i="1"/>
  <c r="M510" i="1"/>
  <c r="E508" i="1"/>
  <c r="E507" i="1"/>
  <c r="E506" i="1"/>
  <c r="G503" i="1"/>
  <c r="E503" i="1"/>
  <c r="E502" i="1"/>
  <c r="G511" i="1"/>
  <c r="E501" i="1"/>
  <c r="G500" i="1"/>
  <c r="E500" i="1"/>
  <c r="G499" i="1"/>
  <c r="E499" i="1"/>
  <c r="P501" i="1"/>
  <c r="G498" i="1"/>
  <c r="E498" i="1"/>
  <c r="M514" i="1"/>
  <c r="G496" i="1"/>
  <c r="E496" i="1"/>
  <c r="G560" i="1"/>
  <c r="E560" i="1"/>
  <c r="G206" i="1"/>
  <c r="E206" i="1"/>
  <c r="G127" i="1"/>
  <c r="G113" i="1"/>
  <c r="E113" i="1"/>
  <c r="E537" i="1"/>
  <c r="E551" i="1"/>
  <c r="G626" i="1"/>
  <c r="E271" i="1"/>
  <c r="E270" i="1"/>
  <c r="E269" i="1"/>
  <c r="G267" i="1"/>
  <c r="E267" i="1"/>
  <c r="E265" i="1"/>
  <c r="O267" i="1"/>
  <c r="E264" i="1"/>
  <c r="E263" i="1"/>
  <c r="M264" i="1"/>
  <c r="E262" i="1"/>
  <c r="E261" i="1"/>
  <c r="E260" i="1"/>
  <c r="G259" i="1"/>
  <c r="E259" i="1"/>
  <c r="E258" i="1"/>
  <c r="E257" i="1"/>
  <c r="G256" i="1"/>
  <c r="E256" i="1"/>
  <c r="G255" i="1"/>
  <c r="E255" i="1"/>
  <c r="O256" i="1"/>
  <c r="E252" i="1"/>
  <c r="E251" i="1"/>
  <c r="E250" i="1"/>
  <c r="G248" i="1"/>
  <c r="E248" i="1"/>
  <c r="E246" i="1"/>
  <c r="O248" i="1"/>
  <c r="E245" i="1"/>
  <c r="E244" i="1"/>
  <c r="M245" i="1"/>
  <c r="E243" i="1"/>
  <c r="E242" i="1"/>
  <c r="E241" i="1"/>
  <c r="E240" i="1"/>
  <c r="G237" i="1"/>
  <c r="E237" i="1"/>
  <c r="E236" i="1"/>
  <c r="E235" i="1"/>
  <c r="G234" i="1"/>
  <c r="E234" i="1"/>
  <c r="E281" i="1"/>
  <c r="P283" i="1"/>
  <c r="G281" i="1"/>
  <c r="E318" i="1"/>
  <c r="E317" i="1"/>
  <c r="E316" i="1"/>
  <c r="G314" i="1"/>
  <c r="E314" i="1"/>
  <c r="E312" i="1"/>
  <c r="O314" i="1"/>
  <c r="E311" i="1"/>
  <c r="E310" i="1"/>
  <c r="M311" i="1"/>
  <c r="E309" i="1"/>
  <c r="E308" i="1"/>
  <c r="E307" i="1"/>
  <c r="G306" i="1"/>
  <c r="E306" i="1"/>
  <c r="E305" i="1"/>
  <c r="E304" i="1"/>
  <c r="G303" i="1"/>
  <c r="E303" i="1"/>
  <c r="G302" i="1"/>
  <c r="E302" i="1"/>
  <c r="P304" i="1"/>
  <c r="E299" i="1"/>
  <c r="E298" i="1"/>
  <c r="E297" i="1"/>
  <c r="G299" i="1"/>
  <c r="G295" i="1"/>
  <c r="E295" i="1"/>
  <c r="E293" i="1"/>
  <c r="O295" i="1"/>
  <c r="E292" i="1"/>
  <c r="E291" i="1"/>
  <c r="M292" i="1"/>
  <c r="E290" i="1"/>
  <c r="E289" i="1"/>
  <c r="E288" i="1"/>
  <c r="G285" i="1"/>
  <c r="E285" i="1"/>
  <c r="E284" i="1"/>
  <c r="G290" i="1"/>
  <c r="E283" i="1"/>
  <c r="G282" i="1"/>
  <c r="E282" i="1"/>
  <c r="E369" i="1"/>
  <c r="E368" i="1"/>
  <c r="E367" i="1"/>
  <c r="G365" i="1"/>
  <c r="E365" i="1"/>
  <c r="E363" i="1"/>
  <c r="O365" i="1"/>
  <c r="E362" i="1"/>
  <c r="E361" i="1"/>
  <c r="M362" i="1"/>
  <c r="E360" i="1"/>
  <c r="E359" i="1"/>
  <c r="E358" i="1"/>
  <c r="G357" i="1"/>
  <c r="E357" i="1"/>
  <c r="E356" i="1"/>
  <c r="G362" i="1"/>
  <c r="E355" i="1"/>
  <c r="G354" i="1"/>
  <c r="E354" i="1"/>
  <c r="G353" i="1"/>
  <c r="E353" i="1"/>
  <c r="O354" i="1"/>
  <c r="E350" i="1"/>
  <c r="E349" i="1"/>
  <c r="E348" i="1"/>
  <c r="G346" i="1"/>
  <c r="E346" i="1"/>
  <c r="E344" i="1"/>
  <c r="O346" i="1"/>
  <c r="E343" i="1"/>
  <c r="E342" i="1"/>
  <c r="M343" i="1"/>
  <c r="E341" i="1"/>
  <c r="E340" i="1"/>
  <c r="E339" i="1"/>
  <c r="G336" i="1"/>
  <c r="E336" i="1"/>
  <c r="E335" i="1"/>
  <c r="G343" i="1"/>
  <c r="E334" i="1"/>
  <c r="G333" i="1"/>
  <c r="E333" i="1"/>
  <c r="G332" i="1"/>
  <c r="E332" i="1"/>
  <c r="P334" i="1"/>
  <c r="E421" i="1"/>
  <c r="E420" i="1"/>
  <c r="E419" i="1"/>
  <c r="G417" i="1"/>
  <c r="E417" i="1"/>
  <c r="E415" i="1"/>
  <c r="O417" i="1"/>
  <c r="E414" i="1"/>
  <c r="E413" i="1"/>
  <c r="M414" i="1"/>
  <c r="E412" i="1"/>
  <c r="E411" i="1"/>
  <c r="E410" i="1"/>
  <c r="G409" i="1"/>
  <c r="E409" i="1"/>
  <c r="E408" i="1"/>
  <c r="E407" i="1"/>
  <c r="G406" i="1"/>
  <c r="E406" i="1"/>
  <c r="G405" i="1"/>
  <c r="E405" i="1"/>
  <c r="P407" i="1"/>
  <c r="E402" i="1"/>
  <c r="E401" i="1"/>
  <c r="E400" i="1"/>
  <c r="G398" i="1"/>
  <c r="E398" i="1"/>
  <c r="E396" i="1"/>
  <c r="O398" i="1"/>
  <c r="E395" i="1"/>
  <c r="E394" i="1"/>
  <c r="M395" i="1"/>
  <c r="E393" i="1"/>
  <c r="E392" i="1"/>
  <c r="E391" i="1"/>
  <c r="G388" i="1"/>
  <c r="E388" i="1"/>
  <c r="E387" i="1"/>
  <c r="G394" i="1"/>
  <c r="E386" i="1"/>
  <c r="G385" i="1"/>
  <c r="E385" i="1"/>
  <c r="G384" i="1"/>
  <c r="E384" i="1"/>
  <c r="P386" i="1"/>
  <c r="G426" i="1"/>
  <c r="E468" i="1"/>
  <c r="E467" i="1"/>
  <c r="E466" i="1"/>
  <c r="G464" i="1"/>
  <c r="E464" i="1"/>
  <c r="E462" i="1"/>
  <c r="O464" i="1"/>
  <c r="E461" i="1"/>
  <c r="E460" i="1"/>
  <c r="M461" i="1"/>
  <c r="E459" i="1"/>
  <c r="E458" i="1"/>
  <c r="E457" i="1"/>
  <c r="G456" i="1"/>
  <c r="E456" i="1"/>
  <c r="E455" i="1"/>
  <c r="G461" i="1"/>
  <c r="E454" i="1"/>
  <c r="G453" i="1"/>
  <c r="E453" i="1"/>
  <c r="G452" i="1"/>
  <c r="E452" i="1"/>
  <c r="P454" i="1"/>
  <c r="E448" i="1"/>
  <c r="E562" i="1"/>
  <c r="M563" i="1"/>
  <c r="G562" i="1"/>
  <c r="E601" i="1"/>
  <c r="E600" i="1"/>
  <c r="E599" i="1"/>
  <c r="G597" i="1"/>
  <c r="E597" i="1"/>
  <c r="E595" i="1"/>
  <c r="O597" i="1"/>
  <c r="E594" i="1"/>
  <c r="E593" i="1"/>
  <c r="M594" i="1"/>
  <c r="E592" i="1"/>
  <c r="E591" i="1"/>
  <c r="E590" i="1"/>
  <c r="G589" i="1"/>
  <c r="E589" i="1"/>
  <c r="E588" i="1"/>
  <c r="G591" i="1"/>
  <c r="E587" i="1"/>
  <c r="G586" i="1"/>
  <c r="E586" i="1"/>
  <c r="G585" i="1"/>
  <c r="E585" i="1"/>
  <c r="P587" i="1"/>
  <c r="E582" i="1"/>
  <c r="E581" i="1"/>
  <c r="E580" i="1"/>
  <c r="G578" i="1"/>
  <c r="E578" i="1"/>
  <c r="E576" i="1"/>
  <c r="O578" i="1"/>
  <c r="E575" i="1"/>
  <c r="E574" i="1"/>
  <c r="M575" i="1"/>
  <c r="E573" i="1"/>
  <c r="E572" i="1"/>
  <c r="E571" i="1"/>
  <c r="G568" i="1"/>
  <c r="E568" i="1"/>
  <c r="E567" i="1"/>
  <c r="P579" i="1"/>
  <c r="E566" i="1"/>
  <c r="G565" i="1"/>
  <c r="E565" i="1"/>
  <c r="G564" i="1"/>
  <c r="E564" i="1"/>
  <c r="P566" i="1"/>
  <c r="G563" i="1"/>
  <c r="E563" i="1"/>
  <c r="M564" i="1"/>
  <c r="G529" i="1"/>
  <c r="G497" i="1"/>
  <c r="E529" i="1"/>
  <c r="M546" i="1"/>
  <c r="E497" i="1"/>
  <c r="M498" i="1"/>
  <c r="E557" i="1"/>
  <c r="E556" i="1"/>
  <c r="E555" i="1"/>
  <c r="E554" i="1"/>
  <c r="M555" i="1"/>
  <c r="E553" i="1"/>
  <c r="E552" i="1"/>
  <c r="G550" i="1"/>
  <c r="E550" i="1"/>
  <c r="E549" i="1"/>
  <c r="G557" i="1"/>
  <c r="E548" i="1"/>
  <c r="G547" i="1"/>
  <c r="E547" i="1"/>
  <c r="G546" i="1"/>
  <c r="E546" i="1"/>
  <c r="P548" i="1"/>
  <c r="E543" i="1"/>
  <c r="E542" i="1"/>
  <c r="E541" i="1"/>
  <c r="E540" i="1"/>
  <c r="M541" i="1"/>
  <c r="E539" i="1"/>
  <c r="E538" i="1"/>
  <c r="G534" i="1"/>
  <c r="E534" i="1"/>
  <c r="E533" i="1"/>
  <c r="G540" i="1"/>
  <c r="E532" i="1"/>
  <c r="G531" i="1"/>
  <c r="E531" i="1"/>
  <c r="G530" i="1"/>
  <c r="E530" i="1"/>
  <c r="O531" i="1"/>
  <c r="E449" i="1"/>
  <c r="E447" i="1"/>
  <c r="G449" i="1"/>
  <c r="G445" i="1"/>
  <c r="E445" i="1"/>
  <c r="E443" i="1"/>
  <c r="O445" i="1"/>
  <c r="E442" i="1"/>
  <c r="E441" i="1"/>
  <c r="M442" i="1"/>
  <c r="E440" i="1"/>
  <c r="E439" i="1"/>
  <c r="E438" i="1"/>
  <c r="G435" i="1"/>
  <c r="E435" i="1"/>
  <c r="E434" i="1"/>
  <c r="G442" i="1"/>
  <c r="E433" i="1"/>
  <c r="G432" i="1"/>
  <c r="E432" i="1"/>
  <c r="E626" i="1"/>
  <c r="G49" i="1"/>
  <c r="E49" i="1"/>
  <c r="G48" i="1"/>
  <c r="E48" i="1"/>
  <c r="G428" i="1"/>
  <c r="G134" i="1"/>
  <c r="G133" i="1"/>
  <c r="G132" i="1"/>
  <c r="G128" i="1"/>
  <c r="G130" i="1"/>
  <c r="G129" i="1"/>
  <c r="E130" i="1"/>
  <c r="E129" i="1"/>
  <c r="G669" i="1"/>
  <c r="E669" i="1"/>
  <c r="G227" i="1"/>
  <c r="G278" i="1"/>
  <c r="G612" i="1"/>
  <c r="E612" i="1"/>
  <c r="G198" i="1"/>
  <c r="E198" i="1"/>
  <c r="G187" i="1"/>
  <c r="G186" i="1"/>
  <c r="G185" i="1"/>
  <c r="G180" i="1"/>
  <c r="G179" i="1"/>
  <c r="G178" i="1"/>
  <c r="G176" i="1"/>
  <c r="G141" i="1"/>
  <c r="G146" i="1"/>
  <c r="G140" i="1"/>
  <c r="G139" i="1"/>
  <c r="G138" i="1"/>
  <c r="G137" i="1"/>
  <c r="G131" i="1"/>
  <c r="G126" i="1"/>
  <c r="G125" i="1"/>
  <c r="E125" i="1"/>
  <c r="E184" i="1"/>
  <c r="G184" i="1"/>
  <c r="E606" i="1"/>
  <c r="G608" i="1"/>
  <c r="G177" i="1"/>
  <c r="E177" i="1"/>
  <c r="G167" i="1"/>
  <c r="E167" i="1"/>
  <c r="G155" i="1"/>
  <c r="E155" i="1"/>
  <c r="G145" i="1"/>
  <c r="E145" i="1"/>
  <c r="G136" i="1"/>
  <c r="E136" i="1"/>
  <c r="G13" i="1"/>
  <c r="E13" i="1"/>
  <c r="G12" i="1"/>
  <c r="E12" i="1"/>
  <c r="Q13" i="1"/>
  <c r="G11" i="1"/>
  <c r="E11" i="1"/>
  <c r="Q12" i="1"/>
  <c r="G638" i="1"/>
  <c r="E638" i="1"/>
  <c r="G636" i="1"/>
  <c r="G605" i="1"/>
  <c r="E605" i="1"/>
  <c r="G486" i="1"/>
  <c r="E486" i="1"/>
  <c r="E651" i="1"/>
  <c r="E649" i="1"/>
  <c r="E650" i="1"/>
  <c r="E647" i="1"/>
  <c r="M648" i="1"/>
  <c r="E646" i="1"/>
  <c r="E645" i="1"/>
  <c r="E644" i="1"/>
  <c r="E641" i="1"/>
  <c r="M643" i="1"/>
  <c r="E640" i="1"/>
  <c r="E639" i="1"/>
  <c r="E637" i="1"/>
  <c r="G642" i="1"/>
  <c r="E636" i="1"/>
  <c r="E635" i="1"/>
  <c r="O636" i="1"/>
  <c r="E624" i="1"/>
  <c r="E623" i="1"/>
  <c r="E622" i="1"/>
  <c r="M623" i="1"/>
  <c r="E621" i="1"/>
  <c r="E620" i="1"/>
  <c r="E617" i="1"/>
  <c r="E616" i="1"/>
  <c r="M617" i="1"/>
  <c r="E615" i="1"/>
  <c r="E614" i="1"/>
  <c r="M615" i="1"/>
  <c r="E613" i="1"/>
  <c r="M614" i="1"/>
  <c r="E611" i="1"/>
  <c r="E609" i="1"/>
  <c r="E608" i="1"/>
  <c r="E607" i="1"/>
  <c r="E604" i="1"/>
  <c r="O605" i="1"/>
  <c r="E561" i="1"/>
  <c r="M605" i="1"/>
  <c r="E495" i="1"/>
  <c r="E494" i="1"/>
  <c r="M495" i="1"/>
  <c r="E491" i="1"/>
  <c r="E490" i="1"/>
  <c r="E489" i="1"/>
  <c r="E488" i="1"/>
  <c r="E487" i="1"/>
  <c r="E483" i="1"/>
  <c r="E481" i="1"/>
  <c r="P484" i="1"/>
  <c r="E480" i="1"/>
  <c r="M497" i="1"/>
  <c r="E479" i="1"/>
  <c r="E478" i="1"/>
  <c r="E477" i="1"/>
  <c r="M479" i="1"/>
  <c r="E476" i="1"/>
  <c r="E474" i="1"/>
  <c r="E473" i="1"/>
  <c r="E472" i="1"/>
  <c r="M474" i="1"/>
  <c r="E471" i="1"/>
  <c r="E431" i="1"/>
  <c r="P433" i="1"/>
  <c r="E429" i="1"/>
  <c r="M432" i="1"/>
  <c r="E428" i="1"/>
  <c r="E427" i="1"/>
  <c r="E426" i="1"/>
  <c r="E425" i="1"/>
  <c r="G322" i="1"/>
  <c r="G274" i="1"/>
  <c r="E274" i="1"/>
  <c r="G207" i="1"/>
  <c r="G30" i="1"/>
  <c r="G33" i="1"/>
  <c r="G635" i="1"/>
  <c r="G624" i="1"/>
  <c r="G623" i="1"/>
  <c r="G622" i="1"/>
  <c r="G621" i="1"/>
  <c r="G620" i="1"/>
  <c r="G607" i="1"/>
  <c r="G604" i="1"/>
  <c r="G561" i="1"/>
  <c r="G495" i="1"/>
  <c r="G494" i="1"/>
  <c r="G483" i="1"/>
  <c r="G481" i="1"/>
  <c r="G480" i="1"/>
  <c r="G479" i="1"/>
  <c r="G478" i="1"/>
  <c r="G477" i="1"/>
  <c r="G476" i="1"/>
  <c r="G474" i="1"/>
  <c r="G473" i="1"/>
  <c r="G472" i="1"/>
  <c r="G471" i="1"/>
  <c r="G431" i="1"/>
  <c r="G425" i="1"/>
  <c r="G377" i="1"/>
  <c r="G374" i="1"/>
  <c r="G373" i="1"/>
  <c r="G325" i="1"/>
  <c r="G321" i="1"/>
  <c r="G226" i="1"/>
  <c r="G225" i="1"/>
  <c r="G223" i="1"/>
  <c r="G222" i="1"/>
  <c r="G221" i="1"/>
  <c r="G220" i="1"/>
  <c r="G219" i="1"/>
  <c r="G218" i="1"/>
  <c r="G217" i="1"/>
  <c r="G216" i="1"/>
  <c r="G214" i="1"/>
  <c r="G213" i="1"/>
  <c r="G212" i="1"/>
  <c r="G211" i="1"/>
  <c r="G210" i="1"/>
  <c r="G209" i="1"/>
  <c r="G208" i="1"/>
  <c r="G202" i="1"/>
  <c r="G201" i="1"/>
  <c r="G200" i="1"/>
  <c r="G199" i="1"/>
  <c r="G204" i="1"/>
  <c r="G203" i="1"/>
  <c r="G196" i="1"/>
  <c r="G195" i="1"/>
  <c r="G194" i="1"/>
  <c r="G193" i="1"/>
  <c r="G192" i="1"/>
  <c r="G191" i="1"/>
  <c r="G190" i="1"/>
  <c r="G188" i="1"/>
  <c r="G182" i="1"/>
  <c r="G181" i="1"/>
  <c r="G174" i="1"/>
  <c r="G173" i="1"/>
  <c r="G172" i="1"/>
  <c r="G171" i="1"/>
  <c r="G170" i="1"/>
  <c r="G169" i="1"/>
  <c r="G168" i="1"/>
  <c r="G166" i="1"/>
  <c r="G165" i="1"/>
  <c r="G164" i="1"/>
  <c r="G162" i="1"/>
  <c r="G161" i="1"/>
  <c r="G160" i="1"/>
  <c r="G159" i="1"/>
  <c r="G158" i="1"/>
  <c r="G157" i="1"/>
  <c r="G156" i="1"/>
  <c r="G149" i="1"/>
  <c r="G148" i="1"/>
  <c r="G153" i="1"/>
  <c r="G152" i="1"/>
  <c r="G151" i="1"/>
  <c r="G150" i="1"/>
  <c r="G147" i="1"/>
  <c r="G124" i="1"/>
  <c r="G122" i="1"/>
  <c r="G121" i="1"/>
  <c r="G120" i="1"/>
  <c r="G119" i="1"/>
  <c r="G118" i="1"/>
  <c r="G117" i="1"/>
  <c r="G116" i="1"/>
  <c r="G115" i="1"/>
  <c r="G114" i="1"/>
  <c r="G97" i="1"/>
  <c r="G94" i="1"/>
  <c r="G93" i="1"/>
  <c r="G92" i="1"/>
  <c r="G90" i="1"/>
  <c r="G89" i="1"/>
  <c r="G88" i="1"/>
  <c r="G87" i="1"/>
  <c r="G86" i="1"/>
  <c r="G84" i="1"/>
  <c r="G83" i="1"/>
  <c r="G82" i="1"/>
  <c r="G81" i="1"/>
  <c r="G80" i="1"/>
  <c r="G79" i="1"/>
  <c r="G69" i="1"/>
  <c r="G68" i="1"/>
  <c r="G67" i="1"/>
  <c r="G66" i="1"/>
  <c r="G65" i="1"/>
  <c r="G64" i="1"/>
  <c r="G63" i="1"/>
  <c r="G61" i="1"/>
  <c r="G60" i="1"/>
  <c r="G59" i="1"/>
  <c r="G58" i="1"/>
  <c r="G57" i="1"/>
  <c r="G55" i="1"/>
  <c r="G54" i="1"/>
  <c r="G53" i="1"/>
  <c r="G52" i="1"/>
  <c r="G51" i="1"/>
  <c r="G47" i="1"/>
  <c r="G46" i="1"/>
  <c r="G45" i="1"/>
  <c r="G44" i="1"/>
  <c r="G43" i="1"/>
  <c r="G42" i="1"/>
  <c r="G41" i="1"/>
  <c r="G28" i="1"/>
  <c r="G27" i="1"/>
  <c r="G26" i="1"/>
  <c r="G25" i="1"/>
  <c r="G24" i="1"/>
  <c r="G23" i="1"/>
  <c r="G22" i="1"/>
  <c r="G21" i="1"/>
  <c r="G20" i="1"/>
  <c r="G19" i="1"/>
  <c r="G18" i="1"/>
  <c r="G17" i="1"/>
  <c r="E17" i="1"/>
  <c r="M18" i="1"/>
  <c r="E18" i="1"/>
  <c r="E19" i="1"/>
  <c r="G8" i="1"/>
  <c r="G9" i="1"/>
  <c r="G10" i="1"/>
  <c r="G14" i="1"/>
  <c r="G15" i="1"/>
  <c r="E485" i="1"/>
  <c r="G491" i="1"/>
  <c r="E484" i="1"/>
  <c r="E382" i="1"/>
  <c r="M405" i="1"/>
  <c r="E381" i="1"/>
  <c r="E380" i="1"/>
  <c r="E379" i="1"/>
  <c r="E378" i="1"/>
  <c r="E376" i="1"/>
  <c r="E375" i="1"/>
  <c r="E377" i="1"/>
  <c r="E374" i="1"/>
  <c r="E373" i="1"/>
  <c r="P375" i="1"/>
  <c r="E330" i="1"/>
  <c r="M332" i="1"/>
  <c r="E329" i="1"/>
  <c r="E328" i="1"/>
  <c r="E327" i="1"/>
  <c r="E326" i="1"/>
  <c r="E324" i="1"/>
  <c r="G328" i="1"/>
  <c r="E323" i="1"/>
  <c r="E322" i="1"/>
  <c r="E325" i="1"/>
  <c r="E321" i="1"/>
  <c r="O322" i="1"/>
  <c r="E279" i="1"/>
  <c r="M282" i="1"/>
  <c r="E278" i="1"/>
  <c r="E277" i="1"/>
  <c r="E276" i="1"/>
  <c r="E275" i="1"/>
  <c r="E231" i="1"/>
  <c r="M256" i="1"/>
  <c r="E230" i="1"/>
  <c r="E229" i="1"/>
  <c r="E228" i="1"/>
  <c r="E227" i="1"/>
  <c r="E226" i="1"/>
  <c r="E225" i="1"/>
  <c r="M226" i="1"/>
  <c r="E223" i="1"/>
  <c r="E222" i="1"/>
  <c r="E221" i="1"/>
  <c r="E220" i="1"/>
  <c r="M221" i="1"/>
  <c r="E219" i="1"/>
  <c r="M220" i="1"/>
  <c r="E218" i="1"/>
  <c r="E217" i="1"/>
  <c r="E216" i="1"/>
  <c r="E214" i="1"/>
  <c r="E213" i="1"/>
  <c r="E212" i="1"/>
  <c r="E211" i="1"/>
  <c r="E210" i="1"/>
  <c r="E209" i="1"/>
  <c r="E208" i="1"/>
  <c r="E207" i="1"/>
  <c r="E202" i="1"/>
  <c r="E201" i="1"/>
  <c r="E200" i="1"/>
  <c r="M201" i="1"/>
  <c r="E199" i="1"/>
  <c r="M202" i="1"/>
  <c r="E204" i="1"/>
  <c r="E203" i="1"/>
  <c r="M204" i="1"/>
  <c r="E196" i="1"/>
  <c r="E195" i="1"/>
  <c r="E194" i="1"/>
  <c r="M195" i="1"/>
  <c r="E193" i="1"/>
  <c r="E192" i="1"/>
  <c r="E191" i="1"/>
  <c r="M194" i="1"/>
  <c r="E190" i="1"/>
  <c r="E188" i="1"/>
  <c r="E187" i="1"/>
  <c r="E186" i="1"/>
  <c r="E185" i="1"/>
  <c r="M186" i="1"/>
  <c r="E182" i="1"/>
  <c r="E181" i="1"/>
  <c r="E180" i="1"/>
  <c r="M181" i="1"/>
  <c r="E179" i="1"/>
  <c r="E178" i="1"/>
  <c r="E176" i="1"/>
  <c r="M177" i="1"/>
  <c r="E174" i="1"/>
  <c r="E173" i="1"/>
  <c r="E172" i="1"/>
  <c r="M173" i="1"/>
  <c r="E171" i="1"/>
  <c r="E170" i="1"/>
  <c r="E169" i="1"/>
  <c r="M170" i="1"/>
  <c r="E168" i="1"/>
  <c r="E166" i="1"/>
  <c r="E165" i="1"/>
  <c r="M166" i="1"/>
  <c r="E164" i="1"/>
  <c r="E162" i="1"/>
  <c r="E161" i="1"/>
  <c r="E160" i="1"/>
  <c r="E159" i="1"/>
  <c r="E158" i="1"/>
  <c r="E157" i="1"/>
  <c r="E156" i="1"/>
  <c r="M158" i="1"/>
  <c r="E149" i="1"/>
  <c r="E148" i="1"/>
  <c r="E153" i="1"/>
  <c r="E152" i="1"/>
  <c r="M153" i="1"/>
  <c r="E151" i="1"/>
  <c r="E150" i="1"/>
  <c r="E147" i="1"/>
  <c r="E146" i="1"/>
  <c r="E141" i="1"/>
  <c r="E140" i="1"/>
  <c r="E139" i="1"/>
  <c r="M140" i="1"/>
  <c r="E138" i="1"/>
  <c r="M139" i="1"/>
  <c r="E137" i="1"/>
  <c r="E134" i="1"/>
  <c r="E133" i="1"/>
  <c r="E132" i="1"/>
  <c r="M134" i="1"/>
  <c r="E131" i="1"/>
  <c r="M132" i="1"/>
  <c r="E128" i="1"/>
  <c r="M129" i="1"/>
  <c r="E127" i="1"/>
  <c r="M128" i="1"/>
  <c r="E126" i="1"/>
  <c r="E124" i="1"/>
  <c r="E122" i="1"/>
  <c r="E121" i="1"/>
  <c r="M122" i="1"/>
  <c r="E120" i="1"/>
  <c r="E119" i="1"/>
  <c r="E118" i="1"/>
  <c r="E117" i="1"/>
  <c r="E116" i="1"/>
  <c r="E115" i="1"/>
  <c r="G110" i="1"/>
  <c r="E110" i="1"/>
  <c r="G109" i="1"/>
  <c r="E109" i="1"/>
  <c r="M110" i="1"/>
  <c r="G108" i="1"/>
  <c r="E108" i="1"/>
  <c r="M109" i="1"/>
  <c r="G107" i="1"/>
  <c r="E107" i="1"/>
  <c r="G106" i="1"/>
  <c r="E106" i="1"/>
  <c r="G105" i="1"/>
  <c r="E105" i="1"/>
  <c r="G72" i="1"/>
  <c r="G73" i="1"/>
  <c r="G74" i="1"/>
  <c r="G75" i="1"/>
  <c r="G76" i="1"/>
  <c r="G71" i="1"/>
  <c r="E74" i="1"/>
  <c r="M75" i="1"/>
  <c r="E75" i="1"/>
  <c r="M76" i="1"/>
  <c r="E76" i="1"/>
  <c r="E79" i="1"/>
  <c r="E80" i="1"/>
  <c r="E81" i="1"/>
  <c r="E82" i="1"/>
  <c r="E83" i="1"/>
  <c r="E84" i="1"/>
  <c r="E86" i="1"/>
  <c r="E87" i="1"/>
  <c r="E88" i="1"/>
  <c r="E89" i="1"/>
  <c r="E90" i="1"/>
  <c r="E92" i="1"/>
  <c r="M94" i="1"/>
  <c r="E93" i="1"/>
  <c r="O94" i="1"/>
  <c r="E94" i="1"/>
  <c r="E97" i="1"/>
  <c r="E95" i="1"/>
  <c r="E96" i="1"/>
  <c r="G99" i="1"/>
  <c r="E98" i="1"/>
  <c r="E99" i="1"/>
  <c r="E100" i="1"/>
  <c r="E101" i="1"/>
  <c r="M102" i="1"/>
  <c r="E102" i="1"/>
  <c r="E58" i="1"/>
  <c r="E59" i="1"/>
  <c r="E60" i="1"/>
  <c r="E61" i="1"/>
  <c r="E63" i="1"/>
  <c r="E64" i="1"/>
  <c r="E65" i="1"/>
  <c r="E66" i="1"/>
  <c r="E67" i="1"/>
  <c r="E68" i="1"/>
  <c r="E69" i="1"/>
  <c r="E71" i="1"/>
  <c r="E72" i="1"/>
  <c r="E73" i="1"/>
  <c r="E57" i="1"/>
  <c r="E55" i="1"/>
  <c r="E54" i="1"/>
  <c r="E53" i="1"/>
  <c r="E52" i="1"/>
  <c r="E51" i="1"/>
  <c r="E47" i="1"/>
  <c r="M55" i="1"/>
  <c r="E46" i="1"/>
  <c r="M54" i="1"/>
  <c r="E45" i="1"/>
  <c r="M53" i="1"/>
  <c r="E44" i="1"/>
  <c r="M52" i="1"/>
  <c r="E43" i="1"/>
  <c r="M155" i="1"/>
  <c r="E42" i="1"/>
  <c r="E41" i="1"/>
  <c r="E8" i="1"/>
  <c r="E9" i="1"/>
  <c r="E10" i="1"/>
  <c r="E14" i="1"/>
  <c r="E15" i="1"/>
  <c r="E20" i="1"/>
  <c r="E21" i="1"/>
  <c r="I26" i="1"/>
  <c r="E22" i="1"/>
  <c r="E23" i="1"/>
  <c r="E24" i="1"/>
  <c r="I25" i="1"/>
  <c r="E25" i="1"/>
  <c r="E26" i="1"/>
  <c r="E27" i="1"/>
  <c r="M30" i="1"/>
  <c r="E28" i="1"/>
  <c r="P31" i="1"/>
  <c r="E30" i="1"/>
  <c r="E33" i="1"/>
  <c r="E31" i="1"/>
  <c r="E32" i="1"/>
  <c r="G36" i="1"/>
  <c r="E34" i="1"/>
  <c r="E35" i="1"/>
  <c r="E36" i="1"/>
  <c r="E37" i="1"/>
  <c r="M38" i="1"/>
  <c r="E38" i="1"/>
  <c r="G7" i="1"/>
  <c r="E7" i="1"/>
  <c r="G5" i="1"/>
  <c r="E5" i="1"/>
  <c r="G4" i="1"/>
  <c r="E4" i="1"/>
  <c r="G3" i="1"/>
  <c r="E3" i="1"/>
  <c r="E2" i="1"/>
  <c r="M499" i="1"/>
  <c r="P517" i="1"/>
  <c r="M515" i="1"/>
  <c r="M500" i="1"/>
  <c r="M234" i="1"/>
  <c r="G393" i="1"/>
  <c r="P516" i="1"/>
  <c r="M473" i="1"/>
  <c r="M494" i="1"/>
  <c r="O547" i="1"/>
  <c r="G525" i="1"/>
  <c r="G522" i="1"/>
  <c r="G317" i="1"/>
  <c r="G344" i="1"/>
  <c r="G524" i="1"/>
  <c r="G640" i="1"/>
  <c r="G396" i="1"/>
  <c r="G437" i="1"/>
  <c r="P347" i="1"/>
  <c r="P455" i="1"/>
  <c r="P387" i="1"/>
  <c r="G639" i="1"/>
  <c r="O385" i="1"/>
  <c r="O453" i="1"/>
  <c r="G440" i="1"/>
  <c r="G575" i="1"/>
  <c r="G436" i="1"/>
  <c r="G439" i="1"/>
  <c r="M79" i="1"/>
  <c r="G572" i="1"/>
  <c r="G411" i="1"/>
  <c r="G646" i="1"/>
  <c r="G554" i="1"/>
  <c r="G569" i="1"/>
  <c r="G390" i="1"/>
  <c r="G571" i="1"/>
  <c r="G650" i="1"/>
  <c r="G415" i="1"/>
  <c r="G410" i="1"/>
  <c r="G413" i="1"/>
  <c r="G576" i="1"/>
  <c r="P418" i="1"/>
  <c r="P399" i="1"/>
  <c r="M481" i="1"/>
  <c r="M478" i="1"/>
  <c r="P305" i="1"/>
  <c r="G573" i="1"/>
  <c r="G555" i="1"/>
  <c r="G570" i="1"/>
  <c r="M437" i="1"/>
  <c r="M585" i="1"/>
  <c r="M565" i="1"/>
  <c r="M586" i="1"/>
  <c r="G510" i="1"/>
  <c r="G391" i="1"/>
  <c r="P532" i="1"/>
  <c r="P355" i="1"/>
  <c r="O303" i="1"/>
  <c r="G392" i="1"/>
  <c r="G389" i="1"/>
  <c r="P598" i="1"/>
  <c r="M141" i="1"/>
  <c r="G380" i="1"/>
  <c r="G574" i="1"/>
  <c r="M483" i="1"/>
  <c r="M93" i="1"/>
  <c r="G318" i="1"/>
  <c r="O565" i="1"/>
  <c r="G505" i="1"/>
  <c r="G504" i="1"/>
  <c r="G337" i="1"/>
  <c r="G590" i="1"/>
  <c r="G338" i="1"/>
  <c r="G508" i="1"/>
  <c r="G509" i="1"/>
  <c r="P268" i="1"/>
  <c r="G614" i="1"/>
  <c r="P323" i="1"/>
  <c r="G647" i="1"/>
  <c r="G261" i="1"/>
  <c r="G363" i="1"/>
  <c r="M302" i="1"/>
  <c r="G541" i="1"/>
  <c r="M634" i="1"/>
  <c r="G538" i="1"/>
  <c r="G535" i="1"/>
  <c r="O500" i="1"/>
  <c r="P366" i="1"/>
  <c r="G265" i="1"/>
  <c r="M374" i="1"/>
  <c r="M321" i="1"/>
  <c r="M425" i="1"/>
  <c r="M373" i="1"/>
  <c r="P324" i="1"/>
  <c r="G271" i="1"/>
  <c r="M192" i="1"/>
  <c r="P335" i="1"/>
  <c r="P502" i="1"/>
  <c r="G368" i="1"/>
  <c r="G448" i="1"/>
  <c r="G35" i="1"/>
  <c r="G38" i="1"/>
  <c r="M530" i="1"/>
  <c r="G537" i="1"/>
  <c r="G245" i="1"/>
  <c r="M322" i="1"/>
  <c r="M406" i="1"/>
  <c r="G536" i="1"/>
  <c r="G506" i="1"/>
  <c r="G507" i="1"/>
  <c r="G543" i="1"/>
  <c r="M274" i="1"/>
  <c r="G542" i="1"/>
  <c r="G539" i="1"/>
  <c r="M133" i="1"/>
  <c r="G260" i="1"/>
  <c r="G263" i="1"/>
  <c r="G339" i="1"/>
  <c r="O333" i="1"/>
  <c r="G360" i="1"/>
  <c r="G613" i="1"/>
  <c r="G361" i="1"/>
  <c r="G369" i="1"/>
  <c r="P249" i="1"/>
  <c r="M281" i="1"/>
  <c r="M384" i="1"/>
  <c r="G358" i="1"/>
  <c r="G244" i="1"/>
  <c r="G238" i="1"/>
  <c r="M604" i="1"/>
  <c r="P549" i="1"/>
  <c r="P533" i="1"/>
  <c r="G34" i="1"/>
  <c r="M28" i="1"/>
  <c r="M130" i="1"/>
  <c r="M452" i="1"/>
  <c r="M431" i="1"/>
  <c r="O483" i="1"/>
  <c r="M385" i="1"/>
  <c r="G340" i="1"/>
  <c r="G593" i="1"/>
  <c r="G595" i="1"/>
  <c r="G378" i="1"/>
  <c r="P376" i="1"/>
  <c r="O374" i="1"/>
  <c r="M453" i="1"/>
  <c r="G609" i="1"/>
  <c r="G611" i="1"/>
  <c r="G381" i="1"/>
  <c r="G594" i="1"/>
  <c r="G581" i="1"/>
  <c r="M188" i="1"/>
  <c r="P258" i="1"/>
  <c r="P588" i="1"/>
  <c r="P32" i="1"/>
  <c r="O30" i="1"/>
  <c r="G37" i="1"/>
  <c r="G582" i="1"/>
  <c r="M531" i="1"/>
  <c r="G487" i="1"/>
  <c r="M547" i="1"/>
  <c r="G616" i="1"/>
  <c r="P446" i="1"/>
  <c r="G615" i="1"/>
  <c r="G651" i="1"/>
  <c r="G443" i="1"/>
  <c r="M303" i="1"/>
  <c r="G649" i="1"/>
  <c r="G644" i="1"/>
  <c r="G645" i="1"/>
  <c r="M57" i="1"/>
  <c r="G520" i="1"/>
  <c r="G521" i="1"/>
  <c r="G342" i="1"/>
  <c r="G519" i="1"/>
  <c r="M562" i="1"/>
  <c r="P485" i="1"/>
  <c r="P567" i="1"/>
  <c r="G600" i="1"/>
  <c r="G401" i="1"/>
  <c r="M624" i="1"/>
  <c r="G102" i="1"/>
  <c r="G98" i="1"/>
  <c r="G101" i="1"/>
  <c r="O282" i="1"/>
  <c r="G330" i="1"/>
  <c r="P465" i="1"/>
  <c r="G551" i="1"/>
  <c r="P434" i="1"/>
  <c r="G307" i="1"/>
  <c r="P296" i="1"/>
  <c r="P315" i="1"/>
  <c r="P284" i="1"/>
  <c r="G286" i="1"/>
  <c r="G291" i="1"/>
  <c r="M187" i="1"/>
  <c r="G592" i="1"/>
  <c r="G329" i="1"/>
  <c r="O432" i="1"/>
  <c r="P236" i="1"/>
  <c r="O234" i="1"/>
  <c r="O586" i="1"/>
  <c r="P95" i="1"/>
  <c r="G326" i="1"/>
  <c r="G298" i="1"/>
  <c r="P96" i="1"/>
  <c r="I49" i="1"/>
  <c r="G458" i="1"/>
  <c r="G327" i="1"/>
  <c r="G553" i="1"/>
  <c r="G293" i="1"/>
  <c r="M200" i="1"/>
  <c r="G643" i="1"/>
  <c r="M333" i="1"/>
  <c r="M222" i="1"/>
  <c r="M157" i="1"/>
  <c r="G489" i="1"/>
  <c r="M233" i="1"/>
  <c r="O406" i="1"/>
  <c r="P257" i="1"/>
  <c r="M642" i="1"/>
  <c r="M354" i="1"/>
  <c r="G488" i="1"/>
  <c r="M159" i="1"/>
  <c r="G641" i="1"/>
  <c r="G490" i="1"/>
  <c r="M353" i="1"/>
  <c r="G617" i="1"/>
  <c r="M255" i="1"/>
  <c r="G289" i="1"/>
  <c r="G287" i="1"/>
  <c r="P408" i="1"/>
  <c r="G420" i="1"/>
  <c r="G552" i="1"/>
  <c r="G556" i="1"/>
  <c r="G309" i="1"/>
  <c r="G308" i="1"/>
  <c r="M49" i="1"/>
  <c r="M45" i="1"/>
  <c r="M48" i="1"/>
  <c r="M44" i="1"/>
  <c r="M47" i="1"/>
  <c r="P356" i="1"/>
  <c r="M46" i="1"/>
  <c r="M664" i="1"/>
  <c r="M665" i="1"/>
  <c r="M666" i="1"/>
  <c r="M663" i="1"/>
</calcChain>
</file>

<file path=xl/sharedStrings.xml><?xml version="1.0" encoding="utf-8"?>
<sst xmlns="http://schemas.openxmlformats.org/spreadsheetml/2006/main" count="6662" uniqueCount="2782">
  <si>
    <t>type</t>
  </si>
  <si>
    <t>name</t>
  </si>
  <si>
    <t>raw_label</t>
  </si>
  <si>
    <t>label</t>
  </si>
  <si>
    <t>hint</t>
  </si>
  <si>
    <t>constraint</t>
  </si>
  <si>
    <t>constraint_message</t>
  </si>
  <si>
    <t>required</t>
  </si>
  <si>
    <t>appearance</t>
  </si>
  <si>
    <t>relevant</t>
  </si>
  <si>
    <t>read_only</t>
  </si>
  <si>
    <t>repeat_count</t>
  </si>
  <si>
    <t>calculation</t>
  </si>
  <si>
    <t>choice_filter</t>
  </si>
  <si>
    <t>default</t>
  </si>
  <si>
    <t>parameters</t>
  </si>
  <si>
    <t>start</t>
  </si>
  <si>
    <t>s0</t>
  </si>
  <si>
    <t>q1</t>
  </si>
  <si>
    <t>start_time</t>
  </si>
  <si>
    <t>Thời gian bắt đầu phỏng vấn</t>
  </si>
  <si>
    <t>end</t>
  </si>
  <si>
    <t>q2</t>
  </si>
  <si>
    <t>end_time</t>
  </si>
  <si>
    <t>Thời gian kết thúc phỏng vấn</t>
  </si>
  <si>
    <t>today</t>
  </si>
  <si>
    <t>q3</t>
  </si>
  <si>
    <t>survey_date</t>
  </si>
  <si>
    <t>Ngày phỏng vấn</t>
  </si>
  <si>
    <t>deviceid</t>
  </si>
  <si>
    <t>q4</t>
  </si>
  <si>
    <t>meta_devid</t>
  </si>
  <si>
    <t>Mã thiết bị/tablet phỏng vấn</t>
  </si>
  <si>
    <t>audit</t>
  </si>
  <si>
    <t>q5</t>
  </si>
  <si>
    <t>location-priority=balanced location-min-interval=60 location-max-age=120</t>
  </si>
  <si>
    <t>geopoint</t>
  </si>
  <si>
    <t>q6</t>
  </si>
  <si>
    <t>geocodes</t>
  </si>
  <si>
    <t xml:space="preserve">Lấy GPS/Định vị GPS hộ chăn nuôi </t>
  </si>
  <si>
    <t>yes</t>
  </si>
  <si>
    <t>begin group</t>
  </si>
  <si>
    <t>s1</t>
  </si>
  <si>
    <t/>
  </si>
  <si>
    <t>grp_coversheet</t>
  </si>
  <si>
    <t>Trang thông tin ban đầu</t>
  </si>
  <si>
    <t>select_one enumerator</t>
  </si>
  <si>
    <t>q7</t>
  </si>
  <si>
    <t>enumerator</t>
  </si>
  <si>
    <t>Mã/ID của cán bộ phỏng vấn</t>
  </si>
  <si>
    <t>quick</t>
  </si>
  <si>
    <t>barcode</t>
  </si>
  <si>
    <t>q8</t>
  </si>
  <si>
    <t>farm_id</t>
  </si>
  <si>
    <t>Mã/ID của trang trại/hộ được phỏng vấn</t>
  </si>
  <si>
    <t>select_one county</t>
  </si>
  <si>
    <t>q9</t>
  </si>
  <si>
    <t>county</t>
  </si>
  <si>
    <t>Lựa chọn tỉnh</t>
  </si>
  <si>
    <t>select_one_external sub_county</t>
  </si>
  <si>
    <t>q10</t>
  </si>
  <si>
    <t>sub_county</t>
  </si>
  <si>
    <t>Lựa chọn Huyện/Thành phố</t>
  </si>
  <si>
    <t>select_one_external ward</t>
  </si>
  <si>
    <t>q11</t>
  </si>
  <si>
    <t>ward</t>
  </si>
  <si>
    <t>Lựa chọn xã/phường</t>
  </si>
  <si>
    <t>select_one yes_no</t>
  </si>
  <si>
    <t>q12</t>
  </si>
  <si>
    <t>is_via_interpretor</t>
  </si>
  <si>
    <t>Phỏng vấn có thông qua phiên dịch</t>
  </si>
  <si>
    <t>q13</t>
  </si>
  <si>
    <t>consent</t>
  </si>
  <si>
    <t>Mã/ID của giấy chấp thuận phỏng vấn</t>
  </si>
  <si>
    <t>end group</t>
  </si>
  <si>
    <t>select_multiple respondent_types</t>
  </si>
  <si>
    <t>s2</t>
  </si>
  <si>
    <t>q14</t>
  </si>
  <si>
    <t>respondent_type</t>
  </si>
  <si>
    <t>Vai trò của người trả lời là gì?</t>
  </si>
  <si>
    <t>grp_owner_section</t>
  </si>
  <si>
    <t>Thông tin về chủ trang trại/Poultry Owner’s Section</t>
  </si>
  <si>
    <t>grp_owner_demographics</t>
  </si>
  <si>
    <t>Nhân khẩu và thu nhập của chủ trang trại</t>
  </si>
  <si>
    <t>select_one gender</t>
  </si>
  <si>
    <t>q15</t>
  </si>
  <si>
    <t>gender</t>
  </si>
  <si>
    <t>Giới tính của chủ trang trại</t>
  </si>
  <si>
    <t>integer</t>
  </si>
  <si>
    <t>q16</t>
  </si>
  <si>
    <t>yob</t>
  </si>
  <si>
    <t>Năm sinh của chủ trang trại</t>
  </si>
  <si>
    <t>. &gt; 1919 and . &lt; 2004</t>
  </si>
  <si>
    <t>The age of the owner must be equal or greater than 18 and less than 100 yrs (1920-2003)</t>
  </si>
  <si>
    <t>year</t>
  </si>
  <si>
    <t>select_one marital_status</t>
  </si>
  <si>
    <t>q17</t>
  </si>
  <si>
    <t>marital_status</t>
  </si>
  <si>
    <t>Tình trạng hôn nhân của ông/bà?</t>
  </si>
  <si>
    <t>select_one edu_level</t>
  </si>
  <si>
    <t>q18</t>
  </si>
  <si>
    <t>owner_edu</t>
  </si>
  <si>
    <t>Trình độ học vấn của ông/bà?</t>
  </si>
  <si>
    <t>q19</t>
  </si>
  <si>
    <t>no_hh_members</t>
  </si>
  <si>
    <t>Trong gia đình ông/bà có bao nhiêu thành viên?</t>
  </si>
  <si>
    <t>. &gt; 0</t>
  </si>
  <si>
    <t>q20</t>
  </si>
  <si>
    <t>no_adults</t>
  </si>
  <si>
    <t>Bao nhiêu người lớn (trên 18 tuổi)?</t>
  </si>
  <si>
    <t>The number of adults should be less than total HH members</t>
  </si>
  <si>
    <t>decimal</t>
  </si>
  <si>
    <t>q21</t>
  </si>
  <si>
    <t>experience_owner</t>
  </si>
  <si>
    <t>Ông/bà đã làm chủ trang trại gà thịt được bao nhiêu năm (trại gà này hoặc trại khác)?</t>
  </si>
  <si>
    <t>Your number of years as a broiler farmer must be less than your age</t>
  </si>
  <si>
    <t>q22</t>
  </si>
  <si>
    <t>is_formal_trained</t>
  </si>
  <si>
    <t>Ông/bà đã từng tham dự khóa tập huấn về chăn nuôi gà/gia cầm, hay về phòng chống dịch bệnh trên đàn gia cầm bao giờ chưa?</t>
  </si>
  <si>
    <t>select_multiple training_type or_other</t>
  </si>
  <si>
    <t>q23</t>
  </si>
  <si>
    <t>poultry_training</t>
  </si>
  <si>
    <t>Đó là loại hình khóa tập huấn gì? (Lựa chọn nhiều đáp án)</t>
  </si>
  <si>
    <t>begin repeat</t>
  </si>
  <si>
    <t>s3</t>
  </si>
  <si>
    <t>rpt_training_repeat</t>
  </si>
  <si>
    <t>Tập huấn</t>
  </si>
  <si>
    <t>calculate</t>
  </si>
  <si>
    <t>c1</t>
  </si>
  <si>
    <t>cur_training</t>
  </si>
  <si>
    <t>c2</t>
  </si>
  <si>
    <t>cur_training_name</t>
  </si>
  <si>
    <t>grp_training_details</t>
  </si>
  <si>
    <t>Chi tiết (của từng tập huấn, nếu có)</t>
  </si>
  <si>
    <t>date</t>
  </si>
  <si>
    <t>q24</t>
  </si>
  <si>
    <t>select_multiple training_topics or_other</t>
  </si>
  <si>
    <t>q25</t>
  </si>
  <si>
    <t>trained_topics</t>
  </si>
  <si>
    <t>select_multiple training_provider or_other</t>
  </si>
  <si>
    <t>q26</t>
  </si>
  <si>
    <t>trainer</t>
  </si>
  <si>
    <t>q27</t>
  </si>
  <si>
    <t>is_change_practice</t>
  </si>
  <si>
    <t>select_multiple what_changed or_other</t>
  </si>
  <si>
    <t>q28</t>
  </si>
  <si>
    <t>what_changed</t>
  </si>
  <si>
    <t>end repeat</t>
  </si>
  <si>
    <t>select_one income_part</t>
  </si>
  <si>
    <t>s4</t>
  </si>
  <si>
    <t>q29</t>
  </si>
  <si>
    <t>income</t>
  </si>
  <si>
    <t>Thu nhập từ trại gà (thịt) chiếm bao nhiêu phần trong tổng thu nhập của gia đình ông/bà? (Chọn MỘT đáp án)</t>
  </si>
  <si>
    <t>grp_no_employees</t>
  </si>
  <si>
    <t>Số lượng nhân công/người lao động tham gia (lưu ý số lượng đếm và số chính xác cho từng mục để tổng số phù hợp)</t>
  </si>
  <si>
    <t>q30</t>
  </si>
  <si>
    <t>total_staff</t>
  </si>
  <si>
    <t>Nếu không kể bản thân ông/bà, trại của ông/bà có bao nhiêu người làm việc hoặc giúp đỡ các công việc trong trại (bao gồm cả người được trả công và không được trả công)?</t>
  </si>
  <si>
    <t>including paid/unpaid, permanent casual, etc.</t>
  </si>
  <si>
    <t>. &gt; -1 or . = -99</t>
  </si>
  <si>
    <t>q31</t>
  </si>
  <si>
    <t>no_male_high_skilled</t>
  </si>
  <si>
    <t>Có bao nhiêu nhân công/cán bộ là &lt;span style='color:blue;'&gt;nam giới có kỹ năng/kinh nghiệm tốt được trả lương/công&lt;/span&gt;</t>
  </si>
  <si>
    <t>q32</t>
  </si>
  <si>
    <t>no_female_high_skilled</t>
  </si>
  <si>
    <t>Có bao nhiêu nhân công/cán bộ là &lt;span style='color:blue;'&gt;nữ giới có kỹ năng/kinh nghiệm tốt được trả lương/công&lt;/span&gt;</t>
  </si>
  <si>
    <t>q33</t>
  </si>
  <si>
    <t>no_male_low_skilled</t>
  </si>
  <si>
    <t>Có bao nhiêu nhân công/cán bộ là  &lt;span style='color:blue;'&gt;nam giới có kỹ năng thấp được trả lương/công&lt;/span&gt;</t>
  </si>
  <si>
    <t>q34</t>
  </si>
  <si>
    <t>no_female_low_skilled</t>
  </si>
  <si>
    <t>Có bao nhiêu nhân công/cán bộ là &lt;span style='color:blue;'&gt;nữ giới có kỹ năng thấp được trả lương/công&lt;/span&gt;</t>
  </si>
  <si>
    <t>q35</t>
  </si>
  <si>
    <t>no_male_unpaid</t>
  </si>
  <si>
    <t>Có bao nhiêu nhân công/cán bộ là &lt;span style='color:blue;'&gt;nam giới không được trả lương/công&lt;/span&gt;</t>
  </si>
  <si>
    <t>q36</t>
  </si>
  <si>
    <t>no_female_unpaid</t>
  </si>
  <si>
    <t>Có bao nhiêu nhân công/cán bộ là &lt;span style='color:blue;'&gt;nữ giới không được trả lương/công&lt;/span&gt;</t>
  </si>
  <si>
    <t>s5</t>
  </si>
  <si>
    <t>grp_wages</t>
  </si>
  <si>
    <t xml:space="preserve">Tiền lương/công của người lao động </t>
  </si>
  <si>
    <t>q37</t>
  </si>
  <si>
    <t>wage_male_high_skilled</t>
  </si>
  <si>
    <t>&lt;span style='color:blue;'&gt;Đối với nhân công/cán bộ là nam giới có kỹ năng/kinh nghiệm tốt&lt;/span&gt;: Ông/bà trả lương trung bình bao nhiêu (ngàn VND)/tháng?</t>
  </si>
  <si>
    <t>. &gt; -1</t>
  </si>
  <si>
    <t>q38</t>
  </si>
  <si>
    <t>wage_female_high_skilled</t>
  </si>
  <si>
    <t>&lt;span style='color:blue;'&gt;Đối với nhân công/cán bộ là nữ giới có kỹ năng/kinh nghiệm tốt&lt;/span&gt;: Ông/bà trả lương trung bình bao nhiêu (ngàn VND)/tháng?</t>
  </si>
  <si>
    <t>q39</t>
  </si>
  <si>
    <t>wage_male_low_skilled</t>
  </si>
  <si>
    <t>&lt;span style='color:blue;'&gt;Đối với nhân công/cán bộ là nam giới có kỹ năng thấp&lt;/span&gt;: Ông/bà trả lương trung bình bao nhiêu (ngàn VND)/tháng?</t>
  </si>
  <si>
    <t>q40</t>
  </si>
  <si>
    <t>wage_female_low_skilled</t>
  </si>
  <si>
    <t>s6</t>
  </si>
  <si>
    <t>grp_employee_training</t>
  </si>
  <si>
    <t>Tập huấn cho những người lao động</t>
  </si>
  <si>
    <t>select_one yes_some_no</t>
  </si>
  <si>
    <t>q41</t>
  </si>
  <si>
    <t>is_live_onfarm</t>
  </si>
  <si>
    <t>Người lao động có ở trong khu trang trại nuôi của ông/bà không?</t>
  </si>
  <si>
    <t>q42</t>
  </si>
  <si>
    <t>Người lao động/cán bộ của ông/bà đã từng tham dự khóa tập huấn về chăn nuôi gà/gia cầm, hay về phòng chống dịch bệnh trên đàn gia cầm bao giờ chưa?  (Gợi ý: có thể bao gồm các buổi tập huấn bởi các cơ quan nhà nước, tổ chức phi chính phủ etc.)?</t>
  </si>
  <si>
    <t>this may include trainings by Govt, NGOs etc</t>
  </si>
  <si>
    <t>q43</t>
  </si>
  <si>
    <t xml:space="preserve">Họ được tập huấn về nội dung gì? </t>
  </si>
  <si>
    <t>q44</t>
  </si>
  <si>
    <t>Ai là người tổ chức chương trình tập huấn này?</t>
  </si>
  <si>
    <t>s7</t>
  </si>
  <si>
    <t>grp_decisions</t>
  </si>
  <si>
    <t>Ra quyết định</t>
  </si>
  <si>
    <t>select_one decision_maker or_other</t>
  </si>
  <si>
    <t>q45</t>
  </si>
  <si>
    <t>restocking</t>
  </si>
  <si>
    <t>Ai là người đưa ra quyết định về &lt;span style='color:blue;'&gt;việc tái đàn?&lt;/span&gt;</t>
  </si>
  <si>
    <t>q46</t>
  </si>
  <si>
    <t>feed_purchase</t>
  </si>
  <si>
    <t>Ai là người đưa ra quyết định về &lt;span style='color:blue;'&gt;mua loại thức ăn sử dụng&lt;/span&gt;</t>
  </si>
  <si>
    <t>q47</t>
  </si>
  <si>
    <t>med_purchase</t>
  </si>
  <si>
    <t>Ai là người đưa ra quyết định về &lt;span style='color:blue;'&gt;mua loại thuốc để dùng&lt;/span&gt;</t>
  </si>
  <si>
    <t>q48</t>
  </si>
  <si>
    <t>selling</t>
  </si>
  <si>
    <t>q49</t>
  </si>
  <si>
    <t>money_use</t>
  </si>
  <si>
    <t>q50</t>
  </si>
  <si>
    <t>overseer</t>
  </si>
  <si>
    <t>s8</t>
  </si>
  <si>
    <t>grp_amu_perceptions</t>
  </si>
  <si>
    <t>Nhận thức liên quan đến sử dụng kháng sinh-AMU</t>
  </si>
  <si>
    <t>select_one ab_purposes or_other</t>
  </si>
  <si>
    <t>q51</t>
  </si>
  <si>
    <t>ab_main_purpose</t>
  </si>
  <si>
    <t xml:space="preserve">Ông/bà thấy mục đích chính của việc sử dụng kháng sinh trong chăn nuôi gà là gì?  </t>
  </si>
  <si>
    <t>do not prompt</t>
  </si>
  <si>
    <t>select_multiple ab_purposes or_other</t>
  </si>
  <si>
    <t>q52</t>
  </si>
  <si>
    <t>ab_benefits_poultry</t>
  </si>
  <si>
    <t xml:space="preserve">Ông/bà có nhận thức về bất cứ lợi ích nào của việc sử dụng kháng sinh trong chăn nuôi gà không? </t>
  </si>
  <si>
    <t>q53</t>
  </si>
  <si>
    <t>is_ab_problems_poultry</t>
  </si>
  <si>
    <t xml:space="preserve">Có bất kỳ nhược điểm hoặc vấn đề nào về việc sử dụng kháng sinh trong chăn nuôi gà không? </t>
  </si>
  <si>
    <t>select_multiple ab_problems or_other</t>
  </si>
  <si>
    <t>q54</t>
  </si>
  <si>
    <t>ab_problems_poultry</t>
  </si>
  <si>
    <t>Các nhược điểm hoặc vấn đề là gì?</t>
  </si>
  <si>
    <t>select_multiple info_source or_other</t>
  </si>
  <si>
    <t>q55</t>
  </si>
  <si>
    <t>ab_problem_source</t>
  </si>
  <si>
    <t xml:space="preserve">Ông/bà nghe thấy các vấn đề đó ở đâu? </t>
  </si>
  <si>
    <t>s9</t>
  </si>
  <si>
    <t>grp_manager</t>
  </si>
  <si>
    <t>grp_manager_coversheet</t>
  </si>
  <si>
    <t>q56</t>
  </si>
  <si>
    <t>q57</t>
  </si>
  <si>
    <t>q58</t>
  </si>
  <si>
    <t>education</t>
  </si>
  <si>
    <t>q59</t>
  </si>
  <si>
    <t>exp_manager_yrs</t>
  </si>
  <si>
    <t>s10</t>
  </si>
  <si>
    <t>grp_manager_decisions</t>
  </si>
  <si>
    <t>q60</t>
  </si>
  <si>
    <t>is_decide_restocking</t>
  </si>
  <si>
    <t>Ông/bà có tham gia vào việc đưa ra quyết định về &lt;span style='color:blue;'&gt;tái đàn&lt;/span&gt;?</t>
  </si>
  <si>
    <t>q61</t>
  </si>
  <si>
    <t>is_decide_feed_purchase</t>
  </si>
  <si>
    <t>Ông/bà có tham gia vào việc đưa ra quyết định về  &lt;span style='color:blue;'&gt;mua loại thức ăn sử dụng&lt;/span&gt;?</t>
  </si>
  <si>
    <t>q62</t>
  </si>
  <si>
    <t>is_decide_med_purchase</t>
  </si>
  <si>
    <t>Ông/bà có tham gia vào việc đưa ra quyết định về&lt;span style='color:blue;'&gt;mua loại thuốc để dùng&lt;/span&gt;?</t>
  </si>
  <si>
    <t>q63</t>
  </si>
  <si>
    <t>is_decide_selling</t>
  </si>
  <si>
    <t>s11</t>
  </si>
  <si>
    <t>q64</t>
  </si>
  <si>
    <t>is_trained</t>
  </si>
  <si>
    <t>select_multiple training_type</t>
  </si>
  <si>
    <t>q65</t>
  </si>
  <si>
    <t>training_type</t>
  </si>
  <si>
    <t>rpt_training</t>
  </si>
  <si>
    <t>grp_details</t>
  </si>
  <si>
    <t>q66</t>
  </si>
  <si>
    <t>year_complete</t>
  </si>
  <si>
    <t>q67</t>
  </si>
  <si>
    <t>q68</t>
  </si>
  <si>
    <t>q69</t>
  </si>
  <si>
    <t>q70</t>
  </si>
  <si>
    <t>s12</t>
  </si>
  <si>
    <t>q71</t>
  </si>
  <si>
    <t>q72</t>
  </si>
  <si>
    <t>Ông/bà có nhận thức về bất cứ lợi ích nào của việc sử dụng kháng sinh trong chăn nuôi gà không?</t>
  </si>
  <si>
    <t>q73</t>
  </si>
  <si>
    <t>Có bất kỳ nhược điểm hoặc vấn đề nào về việc sử dụng kháng sinh trong chăn nuôi gà không?</t>
  </si>
  <si>
    <t>q74</t>
  </si>
  <si>
    <t>q75</t>
  </si>
  <si>
    <t>Ông/bà nghe thấy các vấn đề đó ở đâu?</t>
  </si>
  <si>
    <t>note</t>
  </si>
  <si>
    <t>s13</t>
  </si>
  <si>
    <t>note_whole_farm</t>
  </si>
  <si>
    <t>Sau đây tôi sẽ hỏi ông/bà một số câu hỏi về &lt;span style='color:blue;'&gt;TOÀN BỘ TRẠI&lt;/span&gt;</t>
  </si>
  <si>
    <t>grp_housing</t>
  </si>
  <si>
    <t>Khu nhà/chuồng nuôi gà</t>
  </si>
  <si>
    <t>select_one housing</t>
  </si>
  <si>
    <t>q76</t>
  </si>
  <si>
    <t>housing_type</t>
  </si>
  <si>
    <t>Đàn gà được nuôi theo phương thức nào?</t>
  </si>
  <si>
    <t>q77</t>
  </si>
  <si>
    <t>no_house_structure</t>
  </si>
  <si>
    <t>Trại của ông/bà có bao nhiêu dãy chuồng?</t>
  </si>
  <si>
    <t>q78</t>
  </si>
  <si>
    <t>no_coops</t>
  </si>
  <si>
    <t xml:space="preserve">Ông/bà có tổng số có bao nhiêu ô chuồng nuôi (trong toàn khu trang trại)? </t>
  </si>
  <si>
    <t>q79</t>
  </si>
  <si>
    <t>avg_no_coop</t>
  </si>
  <si>
    <t xml:space="preserve">Trung bình, ông/bà nuôi bao nhiêu gà trong 1 ô chuồng? </t>
  </si>
  <si>
    <t>q80</t>
  </si>
  <si>
    <t>is_auto_drinkers</t>
  </si>
  <si>
    <t xml:space="preserve">Chuồng nuôi của ông/bà có hệ thống cấp nước tự động không? </t>
  </si>
  <si>
    <t>select_multiple water_source or_other</t>
  </si>
  <si>
    <t>q81</t>
  </si>
  <si>
    <t>water_source</t>
  </si>
  <si>
    <t>Nguồn nước cung cấp cho gà trong trại của ông/bà là gì?</t>
  </si>
  <si>
    <t>q82</t>
  </si>
  <si>
    <t>is_treated_h2o</t>
  </si>
  <si>
    <t xml:space="preserve">Ông/bà có xử lý nước trước khi sử dụng cho gà không? </t>
  </si>
  <si>
    <t>select_multiple water_treatment or_other</t>
  </si>
  <si>
    <t>q83</t>
  </si>
  <si>
    <t>h2o_treatment</t>
  </si>
  <si>
    <t>Ông/bà xử lý bằng gì?</t>
  </si>
  <si>
    <t>s14</t>
  </si>
  <si>
    <t>note_show_farm</t>
  </si>
  <si>
    <t>Ông/bà có thể dẫn tôi quan sát xung quanh khu trang trại? Khu đi thăm, tôi sẽ hỏi ông/bà một số câu hỏi liên quan đến vận hành trang trại. &lt;br/&gt;&lt;br/&gt;Lưu ý đối với điều tra viên (không đọc): &lt;br/&gt;&lt;i&gt;&lt;span style='color:blue;'&gt;Đối với phần này, các đáp án sẽ dựa vào quan sát của điều tra viên, trừ khi có các câu hỏi cần hỏi. Nếu quan sát của điều tra viên khác với câu trả lời của người được phỏng vấn, thì nhập kết quả theo những gì mà điều tra viên quan sát được.&lt;/span&gt;&lt;/i&gt;</t>
  </si>
  <si>
    <t>grp_gen_biosafety</t>
  </si>
  <si>
    <t>An toàn sinh học</t>
  </si>
  <si>
    <t>select_one yes_partly_no</t>
  </si>
  <si>
    <t>q84</t>
  </si>
  <si>
    <t>is_fenced</t>
  </si>
  <si>
    <t>q85</t>
  </si>
  <si>
    <t>is_foot_bath</t>
  </si>
  <si>
    <t>q86</t>
  </si>
  <si>
    <t>is_used_footbath</t>
  </si>
  <si>
    <t>text</t>
  </si>
  <si>
    <t>q87</t>
  </si>
  <si>
    <t>footbath_disinfectant</t>
  </si>
  <si>
    <t>select_one frequency</t>
  </si>
  <si>
    <t>q88</t>
  </si>
  <si>
    <t>footbath_disinfectant_change</t>
  </si>
  <si>
    <t>q89</t>
  </si>
  <si>
    <t>is_veh_bath</t>
  </si>
  <si>
    <t>q90</t>
  </si>
  <si>
    <t>is_used_vehbath</t>
  </si>
  <si>
    <t>q91</t>
  </si>
  <si>
    <t>veh_disinfectant</t>
  </si>
  <si>
    <t>q92</t>
  </si>
  <si>
    <t>veh_disinfectant_change</t>
  </si>
  <si>
    <t>s15</t>
  </si>
  <si>
    <t>grp_footbath</t>
  </si>
  <si>
    <t>Hố sát trùng ủng/giày</t>
  </si>
  <si>
    <t>q93</t>
  </si>
  <si>
    <t>is_coop_footbath</t>
  </si>
  <si>
    <t>q94</t>
  </si>
  <si>
    <t>is_used_coopbath</t>
  </si>
  <si>
    <t>q95</t>
  </si>
  <si>
    <t>is_same_disinfectant</t>
  </si>
  <si>
    <t>q96</t>
  </si>
  <si>
    <t>coop_disinfectant</t>
  </si>
  <si>
    <t>q97</t>
  </si>
  <si>
    <t>freq_coop_disinfection</t>
  </si>
  <si>
    <t>q97a</t>
  </si>
  <si>
    <t>is_disinfect</t>
  </si>
  <si>
    <t>Công nhân có sát trùng trước khi họ vào trong khu chuồng gà không?</t>
  </si>
  <si>
    <t>select_one disinfectants</t>
  </si>
  <si>
    <t>q97b</t>
  </si>
  <si>
    <t>disinfectant</t>
  </si>
  <si>
    <t>Họ (công nhân) làm như thế nào khi sát trùng?</t>
  </si>
  <si>
    <t>s16</t>
  </si>
  <si>
    <t>grp_general</t>
  </si>
  <si>
    <t>Thông tin chung về giữ trang trại sạch</t>
  </si>
  <si>
    <t>q98</t>
  </si>
  <si>
    <t>is_farm_divided</t>
  </si>
  <si>
    <t>select_multiple hse_cleaning or_other</t>
  </si>
  <si>
    <t>q99</t>
  </si>
  <si>
    <t>clean_coop</t>
  </si>
  <si>
    <t xml:space="preserve">Ông/bà làm sạch khu chuồng nuôi như thế nào sau khi xuất bán hết gà không? </t>
  </si>
  <si>
    <t>not(count-selected(.)&gt;1 and selected(.,'none'))</t>
  </si>
  <si>
    <t>You cannot select none and another option</t>
  </si>
  <si>
    <t>q100</t>
  </si>
  <si>
    <t>is_drinkers_clean_protocol</t>
  </si>
  <si>
    <t xml:space="preserve">Trại của ông/bà có quy trình làm sạch và sát trùng máng uống sau mỗi chu kỳ nuôi không? </t>
  </si>
  <si>
    <t>q101</t>
  </si>
  <si>
    <t>is_feeders_clean_protocol</t>
  </si>
  <si>
    <t xml:space="preserve">Trại của ông/bà có quy trình làm sạch và sát trùng máng ăn sau mỗi chu kỳ nuôi không? </t>
  </si>
  <si>
    <t>select_one frequency1</t>
  </si>
  <si>
    <t>q102</t>
  </si>
  <si>
    <t>check_disinfection_outcome</t>
  </si>
  <si>
    <t xml:space="preserve">Ông/bà có kiểm tra liệu quá trình sát trùng của anh chị có hiệu quả sau mỗi chu kỳ nuôi không? </t>
  </si>
  <si>
    <t>q103</t>
  </si>
  <si>
    <t>resting_period</t>
  </si>
  <si>
    <t xml:space="preserve">Thời gian trống chuồng giữa các chu kỳ nuôi là bao nhiêu ngày? </t>
  </si>
  <si>
    <t>select_multiple clean_measure or_other</t>
  </si>
  <si>
    <t>q104</t>
  </si>
  <si>
    <t>clean_feed_store</t>
  </si>
  <si>
    <t xml:space="preserve">Ông/bà có dùng các biện pháp nào để giữ khu bảo quản thức ăn cho gà được sạch sẽ không?  </t>
  </si>
  <si>
    <t>Do not read out possible answers but select all that the farmer mentions. Do not probe for additional actions.</t>
  </si>
  <si>
    <t>q105</t>
  </si>
  <si>
    <t>freq_clean_feedstore</t>
  </si>
  <si>
    <t>Ông/bà thường áp dụng các biện pháp này bao lâu một lần?</t>
  </si>
  <si>
    <t>s17</t>
  </si>
  <si>
    <t>grp_biosafety</t>
  </si>
  <si>
    <t>select_multiple workers_biosafety</t>
  </si>
  <si>
    <t>q106</t>
  </si>
  <si>
    <t>measures_against_xtransfer</t>
  </si>
  <si>
    <t>Ông/bà áp dụng các biện pháp nào để đảm bảo là các công nhân khi vào khu chuồng nuôi KHÔNG làm lây dịch bệnh đến đàn gà nuôi?</t>
  </si>
  <si>
    <t>not(count-selected(.)&gt;2 and selected(.,'none'))</t>
  </si>
  <si>
    <t>q107</t>
  </si>
  <si>
    <t>is_show_handwash</t>
  </si>
  <si>
    <t>Ông/bà có thể (Người chăn nuôi) có thể cho/chỉ cho tôi xem thiết bị/dụng cụ rửa tay không</t>
  </si>
  <si>
    <t>could be a bucket with water, or a sink</t>
  </si>
  <si>
    <t>q108</t>
  </si>
  <si>
    <t>is_show_disinfectant</t>
  </si>
  <si>
    <t xml:space="preserve">Anh/chị (Điều tra viên) có thể (TỰ) quan sát thấy/được dụng cụ/chất sát trùng không? </t>
  </si>
  <si>
    <t>q109</t>
  </si>
  <si>
    <t>is_wear_ppe</t>
  </si>
  <si>
    <t xml:space="preserve">Có công nhân nào cũng nuôi gà hoặc các loài chim/gia cầm khác tại nhà của họ không? </t>
  </si>
  <si>
    <t>q110</t>
  </si>
  <si>
    <t>is_workers_wash_hands_b4_enter</t>
  </si>
  <si>
    <t xml:space="preserve">Có công nhân nào cũng đồng thời làm việc cho trại gà khác không? </t>
  </si>
  <si>
    <t>q111</t>
  </si>
  <si>
    <t>is_workers_keep_poultry</t>
  </si>
  <si>
    <t>q112</t>
  </si>
  <si>
    <t>is_workers_work_elsewhere</t>
  </si>
  <si>
    <t>q113</t>
  </si>
  <si>
    <t>is_entry_by_others</t>
  </si>
  <si>
    <t xml:space="preserve">Có người nào không phải là công nhân của trại (như người mua buôn, bác sỹ thú y) thỉnh thoảng vẫn vào trong chuồng nuôi gà ông/bà? </t>
  </si>
  <si>
    <t>select_one yes_no_cant_enter</t>
  </si>
  <si>
    <t>q114</t>
  </si>
  <si>
    <t>is_visitor_entry_protocol</t>
  </si>
  <si>
    <t xml:space="preserve">Trại của ông/bà áp dụng có quy trình nào cụ thể để kiểm soát việc vào trong khu chuồng trại trong trường hợp cần thiết không? </t>
  </si>
  <si>
    <t>select_multiple procedures_biosafety or_other</t>
  </si>
  <si>
    <t>q115</t>
  </si>
  <si>
    <t>entry_protocol</t>
  </si>
  <si>
    <t>Đó là quy trình cụ thể nào mà ông/bà áp dụng để kiểm soát việc vào trong khu chuồng trại trong trường hợp cần thiết?</t>
  </si>
  <si>
    <t>s18</t>
  </si>
  <si>
    <t>grp_wild_pets</t>
  </si>
  <si>
    <t>Chim hoang dã và các vật nuôi làm cảnh</t>
  </si>
  <si>
    <t>select_one distance</t>
  </si>
  <si>
    <t>q116</t>
  </si>
  <si>
    <t>distance2near_farm</t>
  </si>
  <si>
    <t>Khoảng cách (theo đường thẳng) của trại ông/bà với trại gà gần nhất là bao xa?</t>
  </si>
  <si>
    <t>q117</t>
  </si>
  <si>
    <t>is_wild_birds_entry</t>
  </si>
  <si>
    <t>Các loài gia cầm/chim hoang dã có thể vào được khu chuồng nuôi gà không?</t>
  </si>
  <si>
    <t>q118</t>
  </si>
  <si>
    <t>is_seen_wild_birds</t>
  </si>
  <si>
    <t>select_one frequency2</t>
  </si>
  <si>
    <t>q119</t>
  </si>
  <si>
    <t>freq_vermin_problem</t>
  </si>
  <si>
    <t>Loài gặm nhấm (chuột, …) có phải làm vấn đề của trại của gà của anh chị không?</t>
  </si>
  <si>
    <t>select_multiple pets</t>
  </si>
  <si>
    <t>q120</t>
  </si>
  <si>
    <t>is_pets</t>
  </si>
  <si>
    <t>Có loài thú cưng nào có ở trong khu trang trại (chó và mèo)?</t>
  </si>
  <si>
    <t>q121</t>
  </si>
  <si>
    <t>is_pets_access_coop</t>
  </si>
  <si>
    <t xml:space="preserve">Các loài thú cưng này có thể vào được khu chuồng nuôi không?  </t>
  </si>
  <si>
    <t>q122</t>
  </si>
  <si>
    <t>is_backyard_chicken</t>
  </si>
  <si>
    <t xml:space="preserve">Ông/bà có nuôi gà thả vườn/gà cảnh trong trại của mình không? </t>
  </si>
  <si>
    <t>s19</t>
  </si>
  <si>
    <t>q123</t>
  </si>
  <si>
    <t>is_sep_area4carcass</t>
  </si>
  <si>
    <t>grp_carcass</t>
  </si>
  <si>
    <t>Quản lý xác gà bị chết</t>
  </si>
  <si>
    <t>q124</t>
  </si>
  <si>
    <t>is_see_carcass_area</t>
  </si>
  <si>
    <t>q125</t>
  </si>
  <si>
    <t>is_carcass_area_protected</t>
  </si>
  <si>
    <t>q126</t>
  </si>
  <si>
    <t>carcass_clean_measures</t>
  </si>
  <si>
    <t>select_one frequency3</t>
  </si>
  <si>
    <t>q127</t>
  </si>
  <si>
    <t>freq_carcass_clean_measures</t>
  </si>
  <si>
    <t>q128</t>
  </si>
  <si>
    <t>freq_carcass_disinfected</t>
  </si>
  <si>
    <t>Khu để xác gà chết có được làm sạch và khử khuẩn sau mỗi lần sử dụng không?</t>
  </si>
  <si>
    <t>s20</t>
  </si>
  <si>
    <t>grp_disease_area</t>
  </si>
  <si>
    <t>Khu vực cho gà bệnh</t>
  </si>
  <si>
    <t>q129</t>
  </si>
  <si>
    <t>is_sep_area4diseased</t>
  </si>
  <si>
    <t>q130</t>
  </si>
  <si>
    <t>is_see_diseased_area</t>
  </si>
  <si>
    <t>q131</t>
  </si>
  <si>
    <t>diseased_area_clean_measures</t>
  </si>
  <si>
    <t>select_one frequency4</t>
  </si>
  <si>
    <t>q132</t>
  </si>
  <si>
    <t>freq_disease_clean_measure</t>
  </si>
  <si>
    <t>s21</t>
  </si>
  <si>
    <t>grp_ab_pur_store</t>
  </si>
  <si>
    <t>Mua và bảo quản kháng sinh</t>
  </si>
  <si>
    <t>q133</t>
  </si>
  <si>
    <t>is_ab_used</t>
  </si>
  <si>
    <t>Trong chu kỳ nuôi trước, gà của trại ông/bà có cần sử dụng kháng sinh không?</t>
  </si>
  <si>
    <t>select_multiple reasons_ab_no_use or_other</t>
  </si>
  <si>
    <t>q134</t>
  </si>
  <si>
    <t>why_ab_not_used</t>
  </si>
  <si>
    <t>Vì sao, kỳ nuôi đó đàn gà của ông/bà lại không cần sử dụng kháng sinh?</t>
  </si>
  <si>
    <t>select_one ab_storage</t>
  </si>
  <si>
    <t>q135</t>
  </si>
  <si>
    <t>where_ab_kept</t>
  </si>
  <si>
    <t>Ông/bà thường cất giữ (gói/hộp) thuốc kháng sinh ở đâu?</t>
  </si>
  <si>
    <t>q136</t>
  </si>
  <si>
    <t>know_ab_spent</t>
  </si>
  <si>
    <t xml:space="preserve">Ông/bà có biết chi phí cho kháng sinh sử dụng cho gà trong chu kỳ nuôi gần đây nhất không? </t>
  </si>
  <si>
    <t>q137</t>
  </si>
  <si>
    <t>ab_spend</t>
  </si>
  <si>
    <t>Tổng chi phí đó là bao nhiêu?</t>
  </si>
  <si>
    <t>q138</t>
  </si>
  <si>
    <t>is_keep_ab_use_receipts</t>
  </si>
  <si>
    <t xml:space="preserve">Ông/bà có giữ hóa đơn/sổ ghi tiền mua kháng sinh không? </t>
  </si>
  <si>
    <t>s22</t>
  </si>
  <si>
    <t>grp_ab_pur_store_cont</t>
  </si>
  <si>
    <t>Mua và bảo quản kháng sinh ../cont</t>
  </si>
  <si>
    <t>select_multiple months</t>
  </si>
  <si>
    <t>q139</t>
  </si>
  <si>
    <t>month_ab_most_used</t>
  </si>
  <si>
    <t xml:space="preserve">Tháng nào mà Ông/bà thấy trại thường phải dùng kháng sinh nhiều nhất? (Chọn MỘT đáp án)? </t>
  </si>
  <si>
    <t>not(selected(.,'dont_use_ab') and count-selected(.)&gt;1) or not(selected(.,'same_all_months') and count-selected(.)&gt;1)</t>
  </si>
  <si>
    <t>You cannot select nothing and another option</t>
  </si>
  <si>
    <t>q140</t>
  </si>
  <si>
    <t>is_keep_ab_records</t>
  </si>
  <si>
    <t xml:space="preserve">Ông/bà có lưu giữ/ghi chép thông tin kháng sinh đã sử dụng cho gà không? </t>
  </si>
  <si>
    <t>select_one records_form or_other</t>
  </si>
  <si>
    <t>q141</t>
  </si>
  <si>
    <t>records_form</t>
  </si>
  <si>
    <t xml:space="preserve">Lưu giữ bằng hình thức nào? </t>
  </si>
  <si>
    <t>select_multiple expired_ab_dispose or_other</t>
  </si>
  <si>
    <t>q142</t>
  </si>
  <si>
    <t>how_dispose_expired_ab</t>
  </si>
  <si>
    <t xml:space="preserve">Ông/bà loại bỏ kháng sinh còn thừa/quá hạn như thế nào? </t>
  </si>
  <si>
    <t>q143</t>
  </si>
  <si>
    <t>is_use_human_ab</t>
  </si>
  <si>
    <t xml:space="preserve">Ông/bà có sử dụng kháng sinh của gia đình/bản thân mình hoặc các loại thuốc khác cho người để phòng/trị bệnh cho gà không? </t>
  </si>
  <si>
    <t>q144</t>
  </si>
  <si>
    <t>ab_used</t>
  </si>
  <si>
    <t xml:space="preserve">Những loai nào? (Gợi ý: Tên thương mại)  </t>
  </si>
  <si>
    <t>s23</t>
  </si>
  <si>
    <t>note_cur_prod_cycle</t>
  </si>
  <si>
    <t>grp_farm_livestock</t>
  </si>
  <si>
    <t>Các vật nuôi hiện tại ở trại</t>
  </si>
  <si>
    <t>q145</t>
  </si>
  <si>
    <t>no_broilers</t>
  </si>
  <si>
    <t xml:space="preserve">Trại của ông/bà hiện tại có bao nhiêu con gà thịt (broiler)? </t>
  </si>
  <si>
    <t>q146</t>
  </si>
  <si>
    <t>no_sep_flock</t>
  </si>
  <si>
    <t xml:space="preserve">Trại của ông/bà hiện tại có bao nhiêu đàn?  </t>
  </si>
  <si>
    <t>q147</t>
  </si>
  <si>
    <t>age_youngest_bird</t>
  </si>
  <si>
    <t xml:space="preserve">Lứa tuổi của đàn gà nhỏ nhất hiện nay là bao nhiêu tuần? (Gợi ý: tính bằng tuần tuổi) </t>
  </si>
  <si>
    <t>. &gt; 0 and . &lt;=2</t>
  </si>
  <si>
    <t>q148</t>
  </si>
  <si>
    <t>no_birds_flock</t>
  </si>
  <si>
    <t>Có bao nhiêu con trong đàn đó?</t>
  </si>
  <si>
    <t>select_multiple type_birds</t>
  </si>
  <si>
    <t>q149</t>
  </si>
  <si>
    <t>other_chicken</t>
  </si>
  <si>
    <t xml:space="preserve">Ngoài gà thịt, trại của ông/bà còn có giống gà nào khác không? </t>
  </si>
  <si>
    <t>select_multiple poultry</t>
  </si>
  <si>
    <t>q150</t>
  </si>
  <si>
    <t>other_poultry</t>
  </si>
  <si>
    <t xml:space="preserve">Trại của ông/bà có loài gia cầm nào khác không? </t>
  </si>
  <si>
    <t>select_multiple livestock or_other</t>
  </si>
  <si>
    <t>q151</t>
  </si>
  <si>
    <t>other_livestock</t>
  </si>
  <si>
    <t xml:space="preserve">Trang trại của Ông/bà có gia súc nuôi nào khác không? </t>
  </si>
  <si>
    <t>s24</t>
  </si>
  <si>
    <t>note_last_cycle</t>
  </si>
  <si>
    <t xml:space="preserve">Bây giờ tôi sẽ hỏi ông/bà một số câu hỏi liên quan đến &lt;span style='color:blue;'&gt;CHU KỲ/LỨA NUÔI ĐÃ BÁN GẦN ĐÂY NHẤT&lt;/span&gt; của đàn gà thịt của ông/bà. Vui lòng trả lời các thông tin liên quan đến &lt;span style='color:blue;'&gt;CHỈ MỘT ĐÀN&lt;/span&gt;  mà ông/bà vừa mới bán. </t>
  </si>
  <si>
    <t>grp_flock_source</t>
  </si>
  <si>
    <t>Nguồn gốc đàn</t>
  </si>
  <si>
    <t>q152</t>
  </si>
  <si>
    <t>no_birds_last_cycle</t>
  </si>
  <si>
    <t>Ở giai đoạn bắt đầu nuôi chu kỳ đó, đàn mới của ông/bà (lúc đó) có bao nhiêu con</t>
  </si>
  <si>
    <t>select_one how_acquired or_other</t>
  </si>
  <si>
    <t>q153</t>
  </si>
  <si>
    <t>how_acquired</t>
  </si>
  <si>
    <t>Ông/bà lấy/có gà giống từ nguồn chính nào?</t>
  </si>
  <si>
    <t>select_one birds_source</t>
  </si>
  <si>
    <t>q154</t>
  </si>
  <si>
    <t>birds_source</t>
  </si>
  <si>
    <t>Nguồn gốc của gà của ông/bà là từ đâu?</t>
  </si>
  <si>
    <t>select_one country</t>
  </si>
  <si>
    <t>q155</t>
  </si>
  <si>
    <t>source_country</t>
  </si>
  <si>
    <t>Nếu gà nhập, thì nhập từ nước nào?</t>
  </si>
  <si>
    <t>select_multiple hatchery or_other</t>
  </si>
  <si>
    <t>q156</t>
  </si>
  <si>
    <t>source_hatchery</t>
  </si>
  <si>
    <t>Nếu gà được mua từ các công ty ấp, thì từ công ty nào?</t>
  </si>
  <si>
    <t>q157</t>
  </si>
  <si>
    <t>cost</t>
  </si>
  <si>
    <t>Tổng chi phí cho nhập đàn gà đó về là bao nhiêu?</t>
  </si>
  <si>
    <t>select_multiple feed_type</t>
  </si>
  <si>
    <t>s25</t>
  </si>
  <si>
    <t>q158</t>
  </si>
  <si>
    <t>feed_type</t>
  </si>
  <si>
    <t>Ở đàn nuôi trong chu kỳ gần đây nhất, ông/bà sử dụng loại thức ăn nào cho gà?</t>
  </si>
  <si>
    <t>grp_starter</t>
  </si>
  <si>
    <t>q159</t>
  </si>
  <si>
    <t>agvet_no_starter</t>
  </si>
  <si>
    <t>q160</t>
  </si>
  <si>
    <t>agvet_starter_weight</t>
  </si>
  <si>
    <t>q161</t>
  </si>
  <si>
    <t>agvet_starter_cost</t>
  </si>
  <si>
    <t>select_multiple feed_type_reason or_other</t>
  </si>
  <si>
    <t>q162</t>
  </si>
  <si>
    <t>agvet_starter_reason</t>
  </si>
  <si>
    <t>[Lưu ý: Không đọc đáp án, Chọn NHIỀU đáp án phù hợp mà người được phỏng vấn trả lời]</t>
  </si>
  <si>
    <t>select_multiple addons or_other</t>
  </si>
  <si>
    <t>q163</t>
  </si>
  <si>
    <t>agvet_starter_addons</t>
  </si>
  <si>
    <t>select_multiple antibiotics</t>
  </si>
  <si>
    <t>s26</t>
  </si>
  <si>
    <t>q165</t>
  </si>
  <si>
    <t>agvet_starter_abs</t>
  </si>
  <si>
    <t>Ông/bà trộn loại kháng sinh gì?</t>
  </si>
  <si>
    <t>search</t>
  </si>
  <si>
    <t>cur_agvet_starter_ab</t>
  </si>
  <si>
    <t>cur_agvet_starter_ab_name</t>
  </si>
  <si>
    <t>grp_abs</t>
  </si>
  <si>
    <t>select_one single_combi</t>
  </si>
  <si>
    <t>q166</t>
  </si>
  <si>
    <t>how_ab_combined</t>
  </si>
  <si>
    <t>q167</t>
  </si>
  <si>
    <t>ab_combined</t>
  </si>
  <si>
    <t>select_multiple ab_feeds_purpose or_other</t>
  </si>
  <si>
    <t>q168</t>
  </si>
  <si>
    <t>purpose</t>
  </si>
  <si>
    <t>select_multiple med_use_reason or_other</t>
  </si>
  <si>
    <t>q169</t>
  </si>
  <si>
    <t>use_reason</t>
  </si>
  <si>
    <t>select_multiple med_source or_other</t>
  </si>
  <si>
    <t>q170</t>
  </si>
  <si>
    <t>source</t>
  </si>
  <si>
    <t>select_multiple med_how_administered or_other</t>
  </si>
  <si>
    <t>q171</t>
  </si>
  <si>
    <t>how_admin</t>
  </si>
  <si>
    <t>select_multiple med_administer or_other</t>
  </si>
  <si>
    <t>q172</t>
  </si>
  <si>
    <t>who_admin</t>
  </si>
  <si>
    <t>select_multiple med_admin_knowhow or_other</t>
  </si>
  <si>
    <t>q173</t>
  </si>
  <si>
    <t>how_knowhow</t>
  </si>
  <si>
    <t>q174</t>
  </si>
  <si>
    <t>no_occassions</t>
  </si>
  <si>
    <t>rpt_agvet_starter_ab_occ</t>
  </si>
  <si>
    <t>Chi tiết các lần dùng</t>
  </si>
  <si>
    <t>s36</t>
  </si>
  <si>
    <t>cur_rpt_agvet_starter_ab_name</t>
  </si>
  <si>
    <t>cur_agvet_starter_ab_occassion</t>
  </si>
  <si>
    <t>position(..)</t>
  </si>
  <si>
    <t>q175</t>
  </si>
  <si>
    <t>birds_age</t>
  </si>
  <si>
    <t>q176</t>
  </si>
  <si>
    <t>select_multiple vitamins</t>
  </si>
  <si>
    <t>q177</t>
  </si>
  <si>
    <t>vitamins</t>
  </si>
  <si>
    <t>Ông/bà có bổ sung loại vitamin nào không</t>
  </si>
  <si>
    <t>rpt_vitamins</t>
  </si>
  <si>
    <t>Thông tin chi tiết về Vitamin</t>
  </si>
  <si>
    <t>cur_agvet_starter_vitamin</t>
  </si>
  <si>
    <t>cur_agvet_starter_vitamin_name</t>
  </si>
  <si>
    <t>grp_agvet_starter_vitamin</t>
  </si>
  <si>
    <t>q178</t>
  </si>
  <si>
    <t>q179</t>
  </si>
  <si>
    <t>q180</t>
  </si>
  <si>
    <t>q181</t>
  </si>
  <si>
    <t>q182</t>
  </si>
  <si>
    <t>q183</t>
  </si>
  <si>
    <t>rpt_agvet_starter_vit_occ</t>
  </si>
  <si>
    <t>cur_rpt_agvet_starter_vitamin_name</t>
  </si>
  <si>
    <t>cur_agvet_starter_vit_occassion</t>
  </si>
  <si>
    <t>q184</t>
  </si>
  <si>
    <t>q185</t>
  </si>
  <si>
    <t>s27</t>
  </si>
  <si>
    <t>grp_finisher</t>
  </si>
  <si>
    <t>q186</t>
  </si>
  <si>
    <t>agvet_no_finisher</t>
  </si>
  <si>
    <t>q187</t>
  </si>
  <si>
    <t>agvet_finisher_weight</t>
  </si>
  <si>
    <t>q188</t>
  </si>
  <si>
    <t>agvet_finisher_cost</t>
  </si>
  <si>
    <t>q189</t>
  </si>
  <si>
    <t>agvet_finisher_reason</t>
  </si>
  <si>
    <t>q190</t>
  </si>
  <si>
    <t>agvet_finisher_addons</t>
  </si>
  <si>
    <t>q191</t>
  </si>
  <si>
    <t>agvet_finisher_abs</t>
  </si>
  <si>
    <t>rpt_agvet_finisher_abs</t>
  </si>
  <si>
    <t>Medicines</t>
  </si>
  <si>
    <t>cur_agvet_finisher_ab</t>
  </si>
  <si>
    <t>cur_agvet_finisher_ab_name</t>
  </si>
  <si>
    <t>grp_agvet_finisher_abs</t>
  </si>
  <si>
    <t>q192</t>
  </si>
  <si>
    <t>q193</t>
  </si>
  <si>
    <t>q194</t>
  </si>
  <si>
    <t>q195</t>
  </si>
  <si>
    <t>q196</t>
  </si>
  <si>
    <t>q197</t>
  </si>
  <si>
    <t>q198</t>
  </si>
  <si>
    <t>q199</t>
  </si>
  <si>
    <t>rpt_agvet_finisher_ab_occ</t>
  </si>
  <si>
    <t>cur_rpt_agvet_finisher_ab_name</t>
  </si>
  <si>
    <t>cur_agvet_finisher_ab_occassion</t>
  </si>
  <si>
    <t>q200</t>
  </si>
  <si>
    <t>q201</t>
  </si>
  <si>
    <t>q202</t>
  </si>
  <si>
    <t>rpt_agvet_finisher_vitamins</t>
  </si>
  <si>
    <t>Vitamins</t>
  </si>
  <si>
    <t>cur_agvet_finisher_vitamin</t>
  </si>
  <si>
    <t>cur_agvet_finisher_vitamin_name</t>
  </si>
  <si>
    <t>grp_agvet_finisher_vitamin</t>
  </si>
  <si>
    <t>q203</t>
  </si>
  <si>
    <t>q204</t>
  </si>
  <si>
    <t>q205</t>
  </si>
  <si>
    <t>q206</t>
  </si>
  <si>
    <t>q207</t>
  </si>
  <si>
    <t>q208</t>
  </si>
  <si>
    <t>rpt_agvet_finisher_vit_occ</t>
  </si>
  <si>
    <t>cur_rpt_agvet_finisher_vitamin_name</t>
  </si>
  <si>
    <t>cur_agvet_finisher_vit_occassion</t>
  </si>
  <si>
    <t>q209</t>
  </si>
  <si>
    <t>q210</t>
  </si>
  <si>
    <t>select_multiple commercial_feeds or_other</t>
  </si>
  <si>
    <t>s28</t>
  </si>
  <si>
    <t>q211</t>
  </si>
  <si>
    <t>commercial_starter</t>
  </si>
  <si>
    <t>rpt_comm_starter</t>
  </si>
  <si>
    <t>cur_starter</t>
  </si>
  <si>
    <t>cur_starter_name</t>
  </si>
  <si>
    <t>grp_comm_starter_details</t>
  </si>
  <si>
    <t>q212</t>
  </si>
  <si>
    <t>comm_no_starter</t>
  </si>
  <si>
    <t>q213</t>
  </si>
  <si>
    <t>comm_starter_weight</t>
  </si>
  <si>
    <t>q214</t>
  </si>
  <si>
    <t>comm_starter_cost</t>
  </si>
  <si>
    <t>q215</t>
  </si>
  <si>
    <t>comm_starter_reason</t>
  </si>
  <si>
    <t>q216</t>
  </si>
  <si>
    <t>comm_starter_addons</t>
  </si>
  <si>
    <t>q217</t>
  </si>
  <si>
    <t>antibiotics</t>
  </si>
  <si>
    <t>rpt_comm_starter_abs</t>
  </si>
  <si>
    <t>cur_comm_starter_ab</t>
  </si>
  <si>
    <t>cur_comm_starter_ab_name</t>
  </si>
  <si>
    <t>grp_comm_starter_abs</t>
  </si>
  <si>
    <t>q218</t>
  </si>
  <si>
    <t>q219</t>
  </si>
  <si>
    <t>q220</t>
  </si>
  <si>
    <t>q221</t>
  </si>
  <si>
    <t>q222</t>
  </si>
  <si>
    <t>q223</t>
  </si>
  <si>
    <t>q224</t>
  </si>
  <si>
    <t>q225</t>
  </si>
  <si>
    <t>rpt_comm_starter_ab_occ</t>
  </si>
  <si>
    <t>cur_rpt_comm_starter_ab_name</t>
  </si>
  <si>
    <t>cur_comm_starter_ab_occassion</t>
  </si>
  <si>
    <t>q226</t>
  </si>
  <si>
    <t>q227</t>
  </si>
  <si>
    <t>q228</t>
  </si>
  <si>
    <t>rpt_comm_starter_vitamins</t>
  </si>
  <si>
    <t>cur_comm_starter_vitamin</t>
  </si>
  <si>
    <t>cur_comm_starter_vitamin_name</t>
  </si>
  <si>
    <t>grp_comm_starter_vitamin</t>
  </si>
  <si>
    <t>q229</t>
  </si>
  <si>
    <t>q230</t>
  </si>
  <si>
    <t>q231</t>
  </si>
  <si>
    <t>q232</t>
  </si>
  <si>
    <t>q233</t>
  </si>
  <si>
    <t>q234</t>
  </si>
  <si>
    <t>rpt_comm_starter_vit_occ</t>
  </si>
  <si>
    <t>cur_rpt_comm_starter_vitamin_name</t>
  </si>
  <si>
    <t>cur_comm_starter_vit_occassion</t>
  </si>
  <si>
    <t>q235</t>
  </si>
  <si>
    <t>q236</t>
  </si>
  <si>
    <t>s29</t>
  </si>
  <si>
    <t>q237</t>
  </si>
  <si>
    <t>commercial_finisher</t>
  </si>
  <si>
    <t>rpt_comm_finisher</t>
  </si>
  <si>
    <t>c3</t>
  </si>
  <si>
    <t>cur_finisher</t>
  </si>
  <si>
    <t>c4</t>
  </si>
  <si>
    <t>cur_finisher_name</t>
  </si>
  <si>
    <t>grp_comm_finisher_details</t>
  </si>
  <si>
    <t>q238</t>
  </si>
  <si>
    <t>comm_no_finisher</t>
  </si>
  <si>
    <t>q239</t>
  </si>
  <si>
    <t>comm_finisher_weight</t>
  </si>
  <si>
    <t>q240</t>
  </si>
  <si>
    <t>comm_finisher_cost</t>
  </si>
  <si>
    <t>q241</t>
  </si>
  <si>
    <t>comm_finisher_reason</t>
  </si>
  <si>
    <t>q242</t>
  </si>
  <si>
    <t>comm_finisher_addons</t>
  </si>
  <si>
    <t>q243</t>
  </si>
  <si>
    <t>rpt_comm_finisher_abs</t>
  </si>
  <si>
    <t>cur_comm_finisher_ab</t>
  </si>
  <si>
    <t>cur_comm_finisher_ab_name</t>
  </si>
  <si>
    <t>grp_comm_finisher_abs</t>
  </si>
  <si>
    <t>q244</t>
  </si>
  <si>
    <t>q245</t>
  </si>
  <si>
    <t>q246</t>
  </si>
  <si>
    <t>q247</t>
  </si>
  <si>
    <t>q248</t>
  </si>
  <si>
    <t>q249</t>
  </si>
  <si>
    <t>q250</t>
  </si>
  <si>
    <t>q251</t>
  </si>
  <si>
    <t>rpt_comm_finisher_ab_occ</t>
  </si>
  <si>
    <t>cur_rpt_comm_finisher_ab_name</t>
  </si>
  <si>
    <t>cur_comm_finisher_ab_occassion</t>
  </si>
  <si>
    <t>q252</t>
  </si>
  <si>
    <t>q253</t>
  </si>
  <si>
    <t>q254</t>
  </si>
  <si>
    <t>rpt_comm_finisher_vitamins</t>
  </si>
  <si>
    <t>cur_comm_finisher_vitamin</t>
  </si>
  <si>
    <t>cur_comm_finisher_vitamin_name</t>
  </si>
  <si>
    <t>grp_comm_finisher_vitamin</t>
  </si>
  <si>
    <t>q255</t>
  </si>
  <si>
    <t>q256</t>
  </si>
  <si>
    <t>q257</t>
  </si>
  <si>
    <t>q258</t>
  </si>
  <si>
    <t>q259</t>
  </si>
  <si>
    <t>q260</t>
  </si>
  <si>
    <t>rpt_comm_finisher_vit_occ</t>
  </si>
  <si>
    <t>cur_rpt_comm_finisher_vitamin_name</t>
  </si>
  <si>
    <t>cur_comm_finisher_vit_occassion</t>
  </si>
  <si>
    <t>q261</t>
  </si>
  <si>
    <t>q262</t>
  </si>
  <si>
    <t>s30</t>
  </si>
  <si>
    <t>grp_homemade</t>
  </si>
  <si>
    <t>q263</t>
  </si>
  <si>
    <t>no_hm_made</t>
  </si>
  <si>
    <t>q264</t>
  </si>
  <si>
    <t>hm_made_weight</t>
  </si>
  <si>
    <t>q265</t>
  </si>
  <si>
    <t>hm_made_cost</t>
  </si>
  <si>
    <t>q266</t>
  </si>
  <si>
    <t>hm_made_addons</t>
  </si>
  <si>
    <t>q267</t>
  </si>
  <si>
    <t>rpt_hmmade_abs</t>
  </si>
  <si>
    <t>cur_hmmade_ab</t>
  </si>
  <si>
    <t>cur_hmmade_ab_name</t>
  </si>
  <si>
    <t>grp_hmmade_abs</t>
  </si>
  <si>
    <t>q268</t>
  </si>
  <si>
    <t>q269</t>
  </si>
  <si>
    <t>q270</t>
  </si>
  <si>
    <t>q271</t>
  </si>
  <si>
    <t>q272</t>
  </si>
  <si>
    <t>q273</t>
  </si>
  <si>
    <t>q274</t>
  </si>
  <si>
    <t>q275</t>
  </si>
  <si>
    <t>rpt_hmmade_ab_occ</t>
  </si>
  <si>
    <t>cur_rpt_hmmade_ab_name</t>
  </si>
  <si>
    <t>cur_hmmade_ab_occassion</t>
  </si>
  <si>
    <t>q276</t>
  </si>
  <si>
    <t>q277</t>
  </si>
  <si>
    <t>q278</t>
  </si>
  <si>
    <t>rpt_hmmade_vitamins</t>
  </si>
  <si>
    <t>cur_hmmade_vitamin</t>
  </si>
  <si>
    <t>cur_hmmade_vitamin_name</t>
  </si>
  <si>
    <t>grp_hmmade_vitamin</t>
  </si>
  <si>
    <t>q279</t>
  </si>
  <si>
    <t>q280</t>
  </si>
  <si>
    <t>q281</t>
  </si>
  <si>
    <t>q282</t>
  </si>
  <si>
    <t>q283</t>
  </si>
  <si>
    <t>q284</t>
  </si>
  <si>
    <t>rpt_hmmade_vit_occ</t>
  </si>
  <si>
    <t>cur_rpt_hmmade_vitamin_name</t>
  </si>
  <si>
    <t>cur_hmmade_vit_occassion</t>
  </si>
  <si>
    <t>q285</t>
  </si>
  <si>
    <t>q286</t>
  </si>
  <si>
    <t>s31</t>
  </si>
  <si>
    <t>grp_store</t>
  </si>
  <si>
    <t>select_one feed_store or_other</t>
  </si>
  <si>
    <t>q287</t>
  </si>
  <si>
    <t>feed_store</t>
  </si>
  <si>
    <t>select_one store_floor</t>
  </si>
  <si>
    <t>q288</t>
  </si>
  <si>
    <t>store_floor</t>
  </si>
  <si>
    <t>q289</t>
  </si>
  <si>
    <t>is_store_sealed</t>
  </si>
  <si>
    <t>s32</t>
  </si>
  <si>
    <t>grp_vaccines</t>
  </si>
  <si>
    <t>q290</t>
  </si>
  <si>
    <t>is_doc_vaccinated</t>
  </si>
  <si>
    <t>select_one vac_info_source</t>
  </si>
  <si>
    <t>q291</t>
  </si>
  <si>
    <t>vacc_info_source</t>
  </si>
  <si>
    <t>select_multiple vaccines or_other</t>
  </si>
  <si>
    <t>q292</t>
  </si>
  <si>
    <t>vacc_types</t>
  </si>
  <si>
    <t>q293</t>
  </si>
  <si>
    <t>is_vacc_last_cycle</t>
  </si>
  <si>
    <t>q294</t>
  </si>
  <si>
    <t>vaccines_types</t>
  </si>
  <si>
    <t>s33</t>
  </si>
  <si>
    <t>rpt_vaccine_types</t>
  </si>
  <si>
    <t>c5</t>
  </si>
  <si>
    <t>cur_vaccine</t>
  </si>
  <si>
    <t>c6</t>
  </si>
  <si>
    <t>cur_vaccine_name</t>
  </si>
  <si>
    <t>grp_vacc_types</t>
  </si>
  <si>
    <t>q295</t>
  </si>
  <si>
    <t>in days</t>
  </si>
  <si>
    <t>select_multiple vac_administer or_other</t>
  </si>
  <si>
    <t>q296</t>
  </si>
  <si>
    <t>vacc_admin</t>
  </si>
  <si>
    <t>select_one vac_how_administered or_other</t>
  </si>
  <si>
    <t>q297</t>
  </si>
  <si>
    <t>vacc_how_admin</t>
  </si>
  <si>
    <t>select_multiple reason_vaccinate or_other</t>
  </si>
  <si>
    <t>q298</t>
  </si>
  <si>
    <t>vacc_reason</t>
  </si>
  <si>
    <t>q299</t>
  </si>
  <si>
    <t>vacc_cost</t>
  </si>
  <si>
    <t>s34</t>
  </si>
  <si>
    <t>q300</t>
  </si>
  <si>
    <t>is_vacc_book</t>
  </si>
  <si>
    <t>image</t>
  </si>
  <si>
    <t>q301</t>
  </si>
  <si>
    <t>vacc_book_pic</t>
  </si>
  <si>
    <t>max-pixels=2048</t>
  </si>
  <si>
    <t>note_health_med_vit</t>
  </si>
  <si>
    <t>1=0</t>
  </si>
  <si>
    <t>q302</t>
  </si>
  <si>
    <t>is_meds_supps_after_vacc</t>
  </si>
  <si>
    <t>select_multiple addons_wo_none or_other</t>
  </si>
  <si>
    <t>q303</t>
  </si>
  <si>
    <t>which_meds_supps</t>
  </si>
  <si>
    <t>Do not include any added to feed which you already told me about</t>
  </si>
  <si>
    <t>q304</t>
  </si>
  <si>
    <t>rpt_abs_after_vacc</t>
  </si>
  <si>
    <t>cur_ab_after_vacc</t>
  </si>
  <si>
    <t>cur_ab_name_after_vacc</t>
  </si>
  <si>
    <t>grp_abs_after_vacc</t>
  </si>
  <si>
    <t>q305</t>
  </si>
  <si>
    <t>q306</t>
  </si>
  <si>
    <t>q307</t>
  </si>
  <si>
    <t>q308</t>
  </si>
  <si>
    <t>q309</t>
  </si>
  <si>
    <t>q310</t>
  </si>
  <si>
    <t>q311</t>
  </si>
  <si>
    <t>q312</t>
  </si>
  <si>
    <t>q313</t>
  </si>
  <si>
    <t>rpt_vitamins_after_vacc</t>
  </si>
  <si>
    <t>cur_vitamin_after_vacc</t>
  </si>
  <si>
    <t>cur_vitamin_name_after_vacc</t>
  </si>
  <si>
    <t>grp_vitamin_after_vacc</t>
  </si>
  <si>
    <t>q314</t>
  </si>
  <si>
    <t>q315</t>
  </si>
  <si>
    <t>q316</t>
  </si>
  <si>
    <t>q317</t>
  </si>
  <si>
    <t>q318</t>
  </si>
  <si>
    <t>q319</t>
  </si>
  <si>
    <t>q320</t>
  </si>
  <si>
    <t>s35</t>
  </si>
  <si>
    <t>q321</t>
  </si>
  <si>
    <t>is_meds_given</t>
  </si>
  <si>
    <t>q322</t>
  </si>
  <si>
    <t>which_meds</t>
  </si>
  <si>
    <t>Do not tell me about medicines you already told me about for feed or after vaccination</t>
  </si>
  <si>
    <t>q323</t>
  </si>
  <si>
    <t>q324</t>
  </si>
  <si>
    <t>q325</t>
  </si>
  <si>
    <t>q326</t>
  </si>
  <si>
    <t>q327</t>
  </si>
  <si>
    <t>q328</t>
  </si>
  <si>
    <t>q329</t>
  </si>
  <si>
    <t>q330</t>
  </si>
  <si>
    <t>q331</t>
  </si>
  <si>
    <t>q332</t>
  </si>
  <si>
    <t>select_multiple vitamins or_other</t>
  </si>
  <si>
    <t>q333</t>
  </si>
  <si>
    <t>q334</t>
  </si>
  <si>
    <t>q335</t>
  </si>
  <si>
    <t>q336</t>
  </si>
  <si>
    <t>q337</t>
  </si>
  <si>
    <t>q338</t>
  </si>
  <si>
    <t>q339</t>
  </si>
  <si>
    <t>q340</t>
  </si>
  <si>
    <t>note_illness_sickness</t>
  </si>
  <si>
    <t>q341</t>
  </si>
  <si>
    <t>is_sick</t>
  </si>
  <si>
    <t>q342</t>
  </si>
  <si>
    <t>q343</t>
  </si>
  <si>
    <t>q344</t>
  </si>
  <si>
    <t>rpt_gen_med_abs</t>
  </si>
  <si>
    <t>cur_gen_med_ab</t>
  </si>
  <si>
    <t>cur_gen_med_ab_name</t>
  </si>
  <si>
    <t>grp_gen_med_abs</t>
  </si>
  <si>
    <t>q345</t>
  </si>
  <si>
    <t>q346</t>
  </si>
  <si>
    <t>q347</t>
  </si>
  <si>
    <t>q348</t>
  </si>
  <si>
    <t>q349</t>
  </si>
  <si>
    <t>q350</t>
  </si>
  <si>
    <t>q351</t>
  </si>
  <si>
    <t>q352</t>
  </si>
  <si>
    <t>rpt_gen_med_ab_occ</t>
  </si>
  <si>
    <t>cur_rpt_gen_med_ab_name</t>
  </si>
  <si>
    <t>cur_gen_med_ab_occassion</t>
  </si>
  <si>
    <t>q353</t>
  </si>
  <si>
    <t>q354</t>
  </si>
  <si>
    <t>q355</t>
  </si>
  <si>
    <t>rpt_gen_med_vitamins</t>
  </si>
  <si>
    <t>cur_gen_med_vitamin</t>
  </si>
  <si>
    <t>cur_gen_med_vitamin_name</t>
  </si>
  <si>
    <t>grp_gen_med_vitamin</t>
  </si>
  <si>
    <t>q356</t>
  </si>
  <si>
    <t>q357</t>
  </si>
  <si>
    <t>q358</t>
  </si>
  <si>
    <t>q359</t>
  </si>
  <si>
    <t>q360</t>
  </si>
  <si>
    <t>q361</t>
  </si>
  <si>
    <t>rpt_gen_med_vit_occ</t>
  </si>
  <si>
    <t>cur_rpt_gen_med_vit_name</t>
  </si>
  <si>
    <t>cur_gen_med_vit_occassion</t>
  </si>
  <si>
    <t>q362</t>
  </si>
  <si>
    <t>q363</t>
  </si>
  <si>
    <t>s37</t>
  </si>
  <si>
    <t>q364</t>
  </si>
  <si>
    <t>no_sickness</t>
  </si>
  <si>
    <t>rpt_sickness</t>
  </si>
  <si>
    <t>cur_sickness</t>
  </si>
  <si>
    <t>grp_health</t>
  </si>
  <si>
    <t>q365</t>
  </si>
  <si>
    <t>sick_at_age</t>
  </si>
  <si>
    <t>q366</t>
  </si>
  <si>
    <t>no_sick</t>
  </si>
  <si>
    <t>select_multiple symptoms or_other</t>
  </si>
  <si>
    <t>q367</t>
  </si>
  <si>
    <t>sick_symptoms</t>
  </si>
  <si>
    <t>grp_diseases_cont</t>
  </si>
  <si>
    <t>q368</t>
  </si>
  <si>
    <t>is_sick_died</t>
  </si>
  <si>
    <t>q369</t>
  </si>
  <si>
    <t>no_sick_dead</t>
  </si>
  <si>
    <t>q370</t>
  </si>
  <si>
    <t>dead_value</t>
  </si>
  <si>
    <t>select_multiple disease_manage or_other</t>
  </si>
  <si>
    <t>q371</t>
  </si>
  <si>
    <t>disease_mgmnt</t>
  </si>
  <si>
    <t>not(selected(.,'nothing') and count-selected(.)&gt;1)</t>
  </si>
  <si>
    <t>q372</t>
  </si>
  <si>
    <t>dis_cost</t>
  </si>
  <si>
    <t>grp_mortality</t>
  </si>
  <si>
    <t>select_multiple sick_bird_action or_other</t>
  </si>
  <si>
    <t>q373</t>
  </si>
  <si>
    <t>sick_bird_action</t>
  </si>
  <si>
    <t>q374</t>
  </si>
  <si>
    <t>is_keep_sick_records</t>
  </si>
  <si>
    <t>select_multiple records_form or_other</t>
  </si>
  <si>
    <t>q375</t>
  </si>
  <si>
    <t>sick_records_type</t>
  </si>
  <si>
    <t>select_multiple died_bird_action or_other</t>
  </si>
  <si>
    <t>q376</t>
  </si>
  <si>
    <t>died_bird_action</t>
  </si>
  <si>
    <t>s40</t>
  </si>
  <si>
    <t>note_sales</t>
  </si>
  <si>
    <t>grp_gives_consumed</t>
  </si>
  <si>
    <t>q401a</t>
  </si>
  <si>
    <t>no_give_away</t>
  </si>
  <si>
    <t>q401b</t>
  </si>
  <si>
    <t>price_give_away</t>
  </si>
  <si>
    <t>q401c</t>
  </si>
  <si>
    <t>no_consumed</t>
  </si>
  <si>
    <t>q401d</t>
  </si>
  <si>
    <t>price_consumed</t>
  </si>
  <si>
    <t>select_one sales_recall</t>
  </si>
  <si>
    <t>q401e</t>
  </si>
  <si>
    <t>sales_recall</t>
  </si>
  <si>
    <t>grp_detailed_sales</t>
  </si>
  <si>
    <t>q402</t>
  </si>
  <si>
    <t>no_sales</t>
  </si>
  <si>
    <t>rpt_sale_details</t>
  </si>
  <si>
    <t>cur_sale</t>
  </si>
  <si>
    <t>grp_sale_details</t>
  </si>
  <si>
    <t>q403</t>
  </si>
  <si>
    <t>q404</t>
  </si>
  <si>
    <t>no_birds</t>
  </si>
  <si>
    <t>select_one price_type</t>
  </si>
  <si>
    <t>q405</t>
  </si>
  <si>
    <t>price_type</t>
  </si>
  <si>
    <t>q405a</t>
  </si>
  <si>
    <t>total_weight</t>
  </si>
  <si>
    <t>q405b</t>
  </si>
  <si>
    <t>approx_birds</t>
  </si>
  <si>
    <t>q406</t>
  </si>
  <si>
    <t>price</t>
  </si>
  <si>
    <t>q407</t>
  </si>
  <si>
    <t>weight</t>
  </si>
  <si>
    <t>select_multiple sale_outlets or_other</t>
  </si>
  <si>
    <t>q408</t>
  </si>
  <si>
    <t>sale_outlets</t>
  </si>
  <si>
    <t>q409</t>
  </si>
  <si>
    <t>is_sale</t>
  </si>
  <si>
    <t>select_one bird_sale_type</t>
  </si>
  <si>
    <t>q410</t>
  </si>
  <si>
    <t>sale_type</t>
  </si>
  <si>
    <t>q411</t>
  </si>
  <si>
    <t>is_use_own_trans</t>
  </si>
  <si>
    <t>select_one yes_no_dknow_ns</t>
  </si>
  <si>
    <t>q412</t>
  </si>
  <si>
    <t>is_trans_veh_cleaned</t>
  </si>
  <si>
    <t>q413</t>
  </si>
  <si>
    <t>trans_cost</t>
  </si>
  <si>
    <t>s42</t>
  </si>
  <si>
    <t>q414a</t>
  </si>
  <si>
    <t>grp_scant_details_sales</t>
  </si>
  <si>
    <t>q414b</t>
  </si>
  <si>
    <t>no_sold</t>
  </si>
  <si>
    <t>q414c</t>
  </si>
  <si>
    <t>avg_age</t>
  </si>
  <si>
    <t>q414d</t>
  </si>
  <si>
    <t>avg_price</t>
  </si>
  <si>
    <t>q414e</t>
  </si>
  <si>
    <t>avg_weight</t>
  </si>
  <si>
    <t>q414f</t>
  </si>
  <si>
    <t>all_sale_outlets</t>
  </si>
  <si>
    <t>select_one sale_outlets or_other</t>
  </si>
  <si>
    <t>q414g</t>
  </si>
  <si>
    <t>main_sale_outlets</t>
  </si>
  <si>
    <t>select_multiple bird_collect_type</t>
  </si>
  <si>
    <t>q414h</t>
  </si>
  <si>
    <t>collect_type</t>
  </si>
  <si>
    <t>q414j</t>
  </si>
  <si>
    <t>q414k</t>
  </si>
  <si>
    <t>q414l</t>
  </si>
  <si>
    <t>q414m</t>
  </si>
  <si>
    <t>no_times</t>
  </si>
  <si>
    <t>q414n</t>
  </si>
  <si>
    <t>s41</t>
  </si>
  <si>
    <t>q415</t>
  </si>
  <si>
    <t>comments</t>
  </si>
  <si>
    <t>list_name</t>
  </si>
  <si>
    <t>is_active</t>
  </si>
  <si>
    <t>yes_no</t>
  </si>
  <si>
    <t>Có</t>
  </si>
  <si>
    <t>no</t>
  </si>
  <si>
    <t>Không</t>
  </si>
  <si>
    <t>yes_no_dknow</t>
  </si>
  <si>
    <t>dknow</t>
  </si>
  <si>
    <t>Không biết</t>
  </si>
  <si>
    <t>yes_no_dknow_ns</t>
  </si>
  <si>
    <t>Không biết/Không chắc chắn</t>
  </si>
  <si>
    <t>yes_some_no</t>
  </si>
  <si>
    <t>yes_all</t>
  </si>
  <si>
    <t>Có, tất cả người lại động</t>
  </si>
  <si>
    <t>yes_some</t>
  </si>
  <si>
    <t>Có, một số người lao động</t>
  </si>
  <si>
    <t>yes_some_none_dknow</t>
  </si>
  <si>
    <t xml:space="preserve">Có, tất cả </t>
  </si>
  <si>
    <t>Có, một số</t>
  </si>
  <si>
    <t>none</t>
  </si>
  <si>
    <t>Không có ai</t>
  </si>
  <si>
    <t>dkkow</t>
  </si>
  <si>
    <t>yes_partly_no</t>
  </si>
  <si>
    <t>yes_completely</t>
  </si>
  <si>
    <t>Có, toàn bộ</t>
  </si>
  <si>
    <t>yes_partly</t>
  </si>
  <si>
    <t>Có, một phần</t>
  </si>
  <si>
    <t>yes_no_cant_enter</t>
  </si>
  <si>
    <t>cant_enter</t>
  </si>
  <si>
    <t>Không thể vào</t>
  </si>
  <si>
    <t>respondent_types</t>
  </si>
  <si>
    <t>owner</t>
  </si>
  <si>
    <t>Chủ trang trại</t>
  </si>
  <si>
    <t>manager</t>
  </si>
  <si>
    <t>Người quản lý trang trại (nếu có, không phải là chủ trang trại)</t>
  </si>
  <si>
    <t>male</t>
  </si>
  <si>
    <t>Nam</t>
  </si>
  <si>
    <t>female</t>
  </si>
  <si>
    <t>Nữ</t>
  </si>
  <si>
    <t>single</t>
  </si>
  <si>
    <t>Độc thân</t>
  </si>
  <si>
    <t>married</t>
  </si>
  <si>
    <t>Đã có gia đình</t>
  </si>
  <si>
    <t>divorced_sep</t>
  </si>
  <si>
    <t>Ly dị/ly thân</t>
  </si>
  <si>
    <t>widowed</t>
  </si>
  <si>
    <t>Góa</t>
  </si>
  <si>
    <t>edu_level</t>
  </si>
  <si>
    <t>Tiểu học</t>
  </si>
  <si>
    <t>Trung học cơ sở</t>
  </si>
  <si>
    <t>Trung học phổ thông</t>
  </si>
  <si>
    <t>no_edu</t>
  </si>
  <si>
    <t>Cao đẳng/đại học trở lên</t>
  </si>
  <si>
    <t>Không đi học</t>
  </si>
  <si>
    <t>diploma_certificate</t>
  </si>
  <si>
    <t>Có chứng nhận/có văn bằng</t>
  </si>
  <si>
    <t>non_diploma</t>
  </si>
  <si>
    <t>Không có chứng nhận, khóa nhiều ngày</t>
  </si>
  <si>
    <t>day_course</t>
  </si>
  <si>
    <t>Khóa một ngày</t>
  </si>
  <si>
    <t>training_topics</t>
  </si>
  <si>
    <t>increase_prod</t>
  </si>
  <si>
    <t>Cải thiện năng suất chăn nuôi</t>
  </si>
  <si>
    <t>detect_disease</t>
  </si>
  <si>
    <t>Phát hiện các bệnh trên gà</t>
  </si>
  <si>
    <t>treat_disease</t>
  </si>
  <si>
    <t>Điều trị các bệnh trên gà</t>
  </si>
  <si>
    <t>biosecurity</t>
  </si>
  <si>
    <t>Cải thiện an toàn sinh học</t>
  </si>
  <si>
    <t>vaccination</t>
  </si>
  <si>
    <t>Dùng và tiêm vắc xin cho gà</t>
  </si>
  <si>
    <t>training_provider</t>
  </si>
  <si>
    <t>uni</t>
  </si>
  <si>
    <t xml:space="preserve">Trường đại học/cao đẳng </t>
  </si>
  <si>
    <t>gov_ext_off</t>
  </si>
  <si>
    <t>Cán bộ/Cơ quan của Nhà nước</t>
  </si>
  <si>
    <t>ngo_charity</t>
  </si>
  <si>
    <t>Tổ chức phi chính phủ/phi lợi nhuận</t>
  </si>
  <si>
    <t>coops</t>
  </si>
  <si>
    <t xml:space="preserve">Hợp tác xã </t>
  </si>
  <si>
    <t>drug_feed_company</t>
  </si>
  <si>
    <t>Công ty thuốc/thức ăn chăn nuôi</t>
  </si>
  <si>
    <t>change_reason</t>
  </si>
  <si>
    <t>vacc_birds</t>
  </si>
  <si>
    <t>Tiêm phòng cho đàn gà</t>
  </si>
  <si>
    <t>seek_vet_care</t>
  </si>
  <si>
    <t>Lựa chọn dịch vụ thú y</t>
  </si>
  <si>
    <t>improve_treatment</t>
  </si>
  <si>
    <t>Cải thiện trong điều trị gà bệnh</t>
  </si>
  <si>
    <t>improve_biosecurity</t>
  </si>
  <si>
    <t>Áp dụng các biện pháp an toàn sinh học (vd như tách riêng gà ốm…)</t>
  </si>
  <si>
    <t>income_part</t>
  </si>
  <si>
    <t>all</t>
  </si>
  <si>
    <t>Tất cả (100%)</t>
  </si>
  <si>
    <t>almost_all</t>
  </si>
  <si>
    <t>Phần lớn (75-99%)</t>
  </si>
  <si>
    <t>more_half</t>
  </si>
  <si>
    <t>Hơn một nửa (50-75%)</t>
  </si>
  <si>
    <t>half</t>
  </si>
  <si>
    <t>Một nửa (50%)</t>
  </si>
  <si>
    <t>less_half</t>
  </si>
  <si>
    <t>Ít hơn một nửa (25-50%)</t>
  </si>
  <si>
    <t>minor</t>
  </si>
  <si>
    <t>Rất ít (1-25%)</t>
  </si>
  <si>
    <t>decision_maker</t>
  </si>
  <si>
    <t>myself</t>
  </si>
  <si>
    <t>Tôi (quản lý của trại)</t>
  </si>
  <si>
    <t>spouse</t>
  </si>
  <si>
    <t>Chồng/vợ tôi</t>
  </si>
  <si>
    <t>farm_manager</t>
  </si>
  <si>
    <t>Người quản lý trại</t>
  </si>
  <si>
    <t>ab_purposes</t>
  </si>
  <si>
    <t>disease_prevent</t>
  </si>
  <si>
    <t>Phòng chống bệnh</t>
  </si>
  <si>
    <t>disease_treat</t>
  </si>
  <si>
    <t>Điều trị bệnh</t>
  </si>
  <si>
    <t>improve_growth</t>
  </si>
  <si>
    <t xml:space="preserve">Cải thiện mức độ lớn/tăng trọng </t>
  </si>
  <si>
    <t>ab_problems</t>
  </si>
  <si>
    <t>high_cost</t>
  </si>
  <si>
    <t>low_quality</t>
  </si>
  <si>
    <t>dont_work</t>
  </si>
  <si>
    <t>didnt_know</t>
  </si>
  <si>
    <t>unhealthy_meat</t>
  </si>
  <si>
    <t>danger2health</t>
  </si>
  <si>
    <t>lead2resistance</t>
  </si>
  <si>
    <t>info_source</t>
  </si>
  <si>
    <t>vet_officer</t>
  </si>
  <si>
    <t>ngo</t>
  </si>
  <si>
    <t>coop</t>
  </si>
  <si>
    <t>radio_print_tv</t>
  </si>
  <si>
    <t>sm</t>
  </si>
  <si>
    <t>friend</t>
  </si>
  <si>
    <t>housing</t>
  </si>
  <si>
    <t>indoor</t>
  </si>
  <si>
    <t>mixed</t>
  </si>
  <si>
    <t>free_range</t>
  </si>
  <si>
    <t>municipal</t>
  </si>
  <si>
    <t>pond</t>
  </si>
  <si>
    <t>borehole</t>
  </si>
  <si>
    <t>rainwater</t>
  </si>
  <si>
    <t>river</t>
  </si>
  <si>
    <t>swamp</t>
  </si>
  <si>
    <t>h20_vendor</t>
  </si>
  <si>
    <t>water_treatment</t>
  </si>
  <si>
    <t>chlorine</t>
  </si>
  <si>
    <t>alum</t>
  </si>
  <si>
    <t>frequency</t>
  </si>
  <si>
    <t>weekly</t>
  </si>
  <si>
    <t>monthly</t>
  </si>
  <si>
    <t>quarterly</t>
  </si>
  <si>
    <t>half_yearly</t>
  </si>
  <si>
    <t>never</t>
  </si>
  <si>
    <t>hse_cleaning</t>
  </si>
  <si>
    <t>remove_waste</t>
  </si>
  <si>
    <t>disinfect</t>
  </si>
  <si>
    <t>clean_feeders</t>
  </si>
  <si>
    <t>disinfect_feeders</t>
  </si>
  <si>
    <t>frequency1</t>
  </si>
  <si>
    <t>always</t>
  </si>
  <si>
    <t>sometimes</t>
  </si>
  <si>
    <t>clean_measure</t>
  </si>
  <si>
    <t>sweep</t>
  </si>
  <si>
    <t>clean_h20</t>
  </si>
  <si>
    <t>workers_biosafety</t>
  </si>
  <si>
    <t>wash_hands</t>
  </si>
  <si>
    <t>disinfect_hands</t>
  </si>
  <si>
    <t>wear_ppe</t>
  </si>
  <si>
    <t>ppe</t>
  </si>
  <si>
    <t>overalls</t>
  </si>
  <si>
    <t>boots</t>
  </si>
  <si>
    <t>pants</t>
  </si>
  <si>
    <t>shirt</t>
  </si>
  <si>
    <t>closed_shoes</t>
  </si>
  <si>
    <t>open_shoes</t>
  </si>
  <si>
    <t>procedures_biosafety</t>
  </si>
  <si>
    <t>notify_farm_manager</t>
  </si>
  <si>
    <t>wash_disinfect</t>
  </si>
  <si>
    <t>distance</t>
  </si>
  <si>
    <t>less_500</t>
  </si>
  <si>
    <t>btwn_500_1km</t>
  </si>
  <si>
    <t>more_1km</t>
  </si>
  <si>
    <t>pets</t>
  </si>
  <si>
    <t>cats</t>
  </si>
  <si>
    <t>dogs</t>
  </si>
  <si>
    <t>frequency2</t>
  </si>
  <si>
    <t>often</t>
  </si>
  <si>
    <t>frequency3</t>
  </si>
  <si>
    <t>after_use</t>
  </si>
  <si>
    <t>frequency4</t>
  </si>
  <si>
    <t>reasons_ab_no_use</t>
  </si>
  <si>
    <t>healthy_birds</t>
  </si>
  <si>
    <t>expensive</t>
  </si>
  <si>
    <t>low_prod</t>
  </si>
  <si>
    <t>ab_free_birds</t>
  </si>
  <si>
    <t>danger2myhealth</t>
  </si>
  <si>
    <t>danger2consumershealth</t>
  </si>
  <si>
    <t>ab_storage</t>
  </si>
  <si>
    <t>closed_cabinet_in</t>
  </si>
  <si>
    <t>closed_cabinet_out</t>
  </si>
  <si>
    <t>open_shelf_in</t>
  </si>
  <si>
    <t>open_shelf_out</t>
  </si>
  <si>
    <t>don’t_store</t>
  </si>
  <si>
    <t>months</t>
  </si>
  <si>
    <t>jan</t>
  </si>
  <si>
    <t>feb</t>
  </si>
  <si>
    <t>mar</t>
  </si>
  <si>
    <t>apr</t>
  </si>
  <si>
    <t>may</t>
  </si>
  <si>
    <t>jun</t>
  </si>
  <si>
    <t>jul</t>
  </si>
  <si>
    <t>aug</t>
  </si>
  <si>
    <t>sep</t>
  </si>
  <si>
    <t>oct</t>
  </si>
  <si>
    <t>nov</t>
  </si>
  <si>
    <t>dec</t>
  </si>
  <si>
    <t>same_all_months</t>
  </si>
  <si>
    <t>dont_use_ab</t>
  </si>
  <si>
    <t>paper</t>
  </si>
  <si>
    <t>electronic</t>
  </si>
  <si>
    <t>expired_ab_dispose</t>
  </si>
  <si>
    <t>keep</t>
  </si>
  <si>
    <t>give_out</t>
  </si>
  <si>
    <t>burn</t>
  </si>
  <si>
    <t>bury</t>
  </si>
  <si>
    <t>throw_latrine</t>
  </si>
  <si>
    <t>throw_pit</t>
  </si>
  <si>
    <t>use_all</t>
  </si>
  <si>
    <t>type_birds</t>
  </si>
  <si>
    <t>layers</t>
  </si>
  <si>
    <t>improved_kienyeji</t>
  </si>
  <si>
    <t>pure_kienyeji</t>
  </si>
  <si>
    <t>poultry</t>
  </si>
  <si>
    <t>turkey</t>
  </si>
  <si>
    <t>ducks</t>
  </si>
  <si>
    <t>geese</t>
  </si>
  <si>
    <t>guinea_fowls</t>
  </si>
  <si>
    <t>pigeons</t>
  </si>
  <si>
    <t>quails</t>
  </si>
  <si>
    <t>livestock</t>
  </si>
  <si>
    <t>cattle</t>
  </si>
  <si>
    <t>goats</t>
  </si>
  <si>
    <t>sheep</t>
  </si>
  <si>
    <t>pigs</t>
  </si>
  <si>
    <t>purchased</t>
  </si>
  <si>
    <t>hatched</t>
  </si>
  <si>
    <t>gift</t>
  </si>
  <si>
    <t>hatchery</t>
  </si>
  <si>
    <t>agrovet_trader</t>
  </si>
  <si>
    <t>neighbour</t>
  </si>
  <si>
    <t>imported</t>
  </si>
  <si>
    <t>country</t>
  </si>
  <si>
    <t>burundi</t>
  </si>
  <si>
    <t>ethiopia</t>
  </si>
  <si>
    <t>rwanda</t>
  </si>
  <si>
    <t>tanzania</t>
  </si>
  <si>
    <t>uganda</t>
  </si>
  <si>
    <t>kenchic</t>
  </si>
  <si>
    <t>muguku</t>
  </si>
  <si>
    <t>kenbrid</t>
  </si>
  <si>
    <t>anirita</t>
  </si>
  <si>
    <t>bradegate</t>
  </si>
  <si>
    <t>kenya_bixa</t>
  </si>
  <si>
    <t>isinya</t>
  </si>
  <si>
    <t>homemade</t>
  </si>
  <si>
    <t>agrovet_made</t>
  </si>
  <si>
    <t>commercial</t>
  </si>
  <si>
    <t>house_waste</t>
  </si>
  <si>
    <t>feed_type_reason</t>
  </si>
  <si>
    <t>cheap</t>
  </si>
  <si>
    <t>good_growth</t>
  </si>
  <si>
    <t>recommended_ah</t>
  </si>
  <si>
    <t>heard_from_farmers</t>
  </si>
  <si>
    <t>good_quality</t>
  </si>
  <si>
    <t>ready_available</t>
  </si>
  <si>
    <t>addons</t>
  </si>
  <si>
    <t>antibiotic</t>
  </si>
  <si>
    <t>mineral_supplements</t>
  </si>
  <si>
    <t>addons_wo_none</t>
  </si>
  <si>
    <t>in_hse</t>
  </si>
  <si>
    <t>separate_room</t>
  </si>
  <si>
    <t>elavated</t>
  </si>
  <si>
    <t>on_floor</t>
  </si>
  <si>
    <t>vac_info_source</t>
  </si>
  <si>
    <t>supplier</t>
  </si>
  <si>
    <t>vacc_certificate</t>
  </si>
  <si>
    <t>hatch_vaccinates</t>
  </si>
  <si>
    <t>vac_administer</t>
  </si>
  <si>
    <t>farm_owner</t>
  </si>
  <si>
    <t>other_staff</t>
  </si>
  <si>
    <t>hachery</t>
  </si>
  <si>
    <t>ah_sp</t>
  </si>
  <si>
    <t>agrovet</t>
  </si>
  <si>
    <t>friends</t>
  </si>
  <si>
    <t>vac_how_administered</t>
  </si>
  <si>
    <t>in_h2o</t>
  </si>
  <si>
    <t>eyedrop</t>
  </si>
  <si>
    <t>injection</t>
  </si>
  <si>
    <t>single_combi</t>
  </si>
  <si>
    <t>singly</t>
  </si>
  <si>
    <t>combined</t>
  </si>
  <si>
    <t>reason_vaccinate</t>
  </si>
  <si>
    <t>disease_prevention</t>
  </si>
  <si>
    <t>help_chics_grow</t>
  </si>
  <si>
    <t>prev_experience</t>
  </si>
  <si>
    <t>practise</t>
  </si>
  <si>
    <t>recommended_vendor</t>
  </si>
  <si>
    <t>recommended_ahs</t>
  </si>
  <si>
    <t>recommended_farmer</t>
  </si>
  <si>
    <t>recommended_news</t>
  </si>
  <si>
    <t>disease_manage</t>
  </si>
  <si>
    <t>consulted_ah_provder</t>
  </si>
  <si>
    <t>use_shop_medicine</t>
  </si>
  <si>
    <t>use_trad_medicine</t>
  </si>
  <si>
    <t>gave_vits</t>
  </si>
  <si>
    <t>separated_sick_birds</t>
  </si>
  <si>
    <t>nothing</t>
  </si>
  <si>
    <t>change_meds</t>
  </si>
  <si>
    <t>consume</t>
  </si>
  <si>
    <t>sell_it</t>
  </si>
  <si>
    <t>burn_bury</t>
  </si>
  <si>
    <t>feed_dogs</t>
  </si>
  <si>
    <t>throw</t>
  </si>
  <si>
    <t>feed_other_animals</t>
  </si>
  <si>
    <t>vitamins_medicine</t>
  </si>
  <si>
    <t>vits</t>
  </si>
  <si>
    <t>meds</t>
  </si>
  <si>
    <t>vits_meds</t>
  </si>
  <si>
    <t>info_source_give_vits</t>
  </si>
  <si>
    <t>ab_feeds_purpose</t>
  </si>
  <si>
    <t>prevent_disease</t>
  </si>
  <si>
    <t>promote_growth</t>
  </si>
  <si>
    <t>med_purpose</t>
  </si>
  <si>
    <t>for_doc</t>
  </si>
  <si>
    <t>after_vacc</t>
  </si>
  <si>
    <t>treat_sick</t>
  </si>
  <si>
    <t>other_sick</t>
  </si>
  <si>
    <t>med_use_reason</t>
  </si>
  <si>
    <t>experience</t>
  </si>
  <si>
    <t>advice_ahs</t>
  </si>
  <si>
    <t>advice_neighbour</t>
  </si>
  <si>
    <t>advice_agrovet</t>
  </si>
  <si>
    <t>adverts</t>
  </si>
  <si>
    <t>sales_rep</t>
  </si>
  <si>
    <t>med_source</t>
  </si>
  <si>
    <t>gov_ahs</t>
  </si>
  <si>
    <t>private_ahs</t>
  </si>
  <si>
    <t>med_how_administered</t>
  </si>
  <si>
    <t>in_feed</t>
  </si>
  <si>
    <t>med_administer</t>
  </si>
  <si>
    <t>farm_worker</t>
  </si>
  <si>
    <t>ahs</t>
  </si>
  <si>
    <t>agrovet_vet</t>
  </si>
  <si>
    <t>med_admin_knowhow</t>
  </si>
  <si>
    <t>advice_packaging</t>
  </si>
  <si>
    <t>supermarkets</t>
  </si>
  <si>
    <t>traders</t>
  </si>
  <si>
    <t>market_vendors</t>
  </si>
  <si>
    <t>sold_direct</t>
  </si>
  <si>
    <t>restaurants</t>
  </si>
  <si>
    <t>farm_gate</t>
  </si>
  <si>
    <t>bird_sale_type</t>
  </si>
  <si>
    <t>live_birds</t>
  </si>
  <si>
    <t>farm_slaughter</t>
  </si>
  <si>
    <t>vaccines</t>
  </si>
  <si>
    <t>mareks</t>
  </si>
  <si>
    <t>Marek’s</t>
  </si>
  <si>
    <t>newcastle</t>
  </si>
  <si>
    <t>ib</t>
  </si>
  <si>
    <t>ibd</t>
  </si>
  <si>
    <t>encephalomyelitis</t>
  </si>
  <si>
    <t>fowl_pox</t>
  </si>
  <si>
    <t>laryngotracheitis</t>
  </si>
  <si>
    <t>mycoplasma</t>
  </si>
  <si>
    <t>fowl_cholera</t>
  </si>
  <si>
    <t>infectious_coryza</t>
  </si>
  <si>
    <t>don’t_know</t>
  </si>
  <si>
    <t>per_bird</t>
  </si>
  <si>
    <t>total_sale</t>
  </si>
  <si>
    <t>add_times</t>
  </si>
  <si>
    <t>throughout</t>
  </si>
  <si>
    <t>Added throughout cycle</t>
  </si>
  <si>
    <t>specific_times</t>
  </si>
  <si>
    <t>Added at specific times</t>
  </si>
  <si>
    <t>Phú Bình</t>
  </si>
  <si>
    <t>TP Thái Nguyên</t>
  </si>
  <si>
    <t>Phú Lương</t>
  </si>
  <si>
    <t>few_sales_detail</t>
  </si>
  <si>
    <t>many_sales_no_detail</t>
  </si>
  <si>
    <t>bird_collect_type</t>
  </si>
  <si>
    <t>came2farm</t>
  </si>
  <si>
    <t>i_delivered</t>
  </si>
  <si>
    <t>disinfectants</t>
  </si>
  <si>
    <t>basin</t>
  </si>
  <si>
    <t>handheld_sprayer</t>
  </si>
  <si>
    <t>tylosin</t>
  </si>
  <si>
    <t>Tylosin</t>
  </si>
  <si>
    <t>sulfadimethoxazole</t>
  </si>
  <si>
    <t>Sulfadimethoxazole</t>
  </si>
  <si>
    <t>doxycycline</t>
  </si>
  <si>
    <t>Doxycycline</t>
  </si>
  <si>
    <t>oxytetracycline</t>
  </si>
  <si>
    <t>Oxytetracycline</t>
  </si>
  <si>
    <t>tetracycline</t>
  </si>
  <si>
    <t>Tetracycline</t>
  </si>
  <si>
    <t>colistin</t>
  </si>
  <si>
    <t>Colistin</t>
  </si>
  <si>
    <t>amikacin</t>
  </si>
  <si>
    <t>Amikacin</t>
  </si>
  <si>
    <t>amoxicillin</t>
  </si>
  <si>
    <t>Amoxicillin</t>
  </si>
  <si>
    <t>amoxicillin_clavulanicacid</t>
  </si>
  <si>
    <t>Amoxicillin + Clavulanic acid</t>
  </si>
  <si>
    <t>ampicillin</t>
  </si>
  <si>
    <t>Ampicillin</t>
  </si>
  <si>
    <t>ampicillin_sulbactam</t>
  </si>
  <si>
    <t>Ampicillin + Sulbactam</t>
  </si>
  <si>
    <t>apramycin</t>
  </si>
  <si>
    <t>Apramycin</t>
  </si>
  <si>
    <t>aspoxicilin</t>
  </si>
  <si>
    <t>Aspoxicilin</t>
  </si>
  <si>
    <t>avilamycin</t>
  </si>
  <si>
    <t>Avilamycin</t>
  </si>
  <si>
    <t>bacitracin</t>
  </si>
  <si>
    <t>Bacitracin</t>
  </si>
  <si>
    <t>baquiloprim</t>
  </si>
  <si>
    <t>Baquiloprim</t>
  </si>
  <si>
    <t>benethaminepenicillin</t>
  </si>
  <si>
    <t>Benethamine penicillin</t>
  </si>
  <si>
    <t>benzylpenicillin</t>
  </si>
  <si>
    <t>Benzylpenicillin</t>
  </si>
  <si>
    <t>benzylpenicillinprocaine</t>
  </si>
  <si>
    <t>Benzylpenicillin procaine</t>
  </si>
  <si>
    <t>bicozamycin</t>
  </si>
  <si>
    <t>Bicozamycin</t>
  </si>
  <si>
    <t>carbadox</t>
  </si>
  <si>
    <t>Carbadox</t>
  </si>
  <si>
    <t>carbomycin</t>
  </si>
  <si>
    <t>Carbomycin</t>
  </si>
  <si>
    <t>cefacetrile</t>
  </si>
  <si>
    <t>Cefacetrile</t>
  </si>
  <si>
    <t>cefalexin</t>
  </si>
  <si>
    <t>Cefalexin</t>
  </si>
  <si>
    <t>cefalonium</t>
  </si>
  <si>
    <t>Cefalonium</t>
  </si>
  <si>
    <t>cefalotin</t>
  </si>
  <si>
    <t>Cefalotin</t>
  </si>
  <si>
    <t>cefapyrin</t>
  </si>
  <si>
    <t>Cefapyrin</t>
  </si>
  <si>
    <t>cefazolin</t>
  </si>
  <si>
    <t>Cefazolin</t>
  </si>
  <si>
    <t>cefoperazone</t>
  </si>
  <si>
    <t>Cefoperazone</t>
  </si>
  <si>
    <t>cefquinome</t>
  </si>
  <si>
    <t>Cefquinome</t>
  </si>
  <si>
    <t>ceftiofur</t>
  </si>
  <si>
    <t>Ceftiofur</t>
  </si>
  <si>
    <t>ceftriaxone</t>
  </si>
  <si>
    <t>Ceftriaxone</t>
  </si>
  <si>
    <t>cefuroxime</t>
  </si>
  <si>
    <t>Cefuroxime</t>
  </si>
  <si>
    <t>chlortetracycline</t>
  </si>
  <si>
    <t>Chlortetracycline</t>
  </si>
  <si>
    <t>ciprofloxacin</t>
  </si>
  <si>
    <t>Ciprofloxacin</t>
  </si>
  <si>
    <t>cloxacillin</t>
  </si>
  <si>
    <t>Cloxacillin</t>
  </si>
  <si>
    <t>danofloxacin</t>
  </si>
  <si>
    <t>Danofloxacin</t>
  </si>
  <si>
    <t>dicloxacillin</t>
  </si>
  <si>
    <t>Dicloxacillin</t>
  </si>
  <si>
    <t>difloxacin</t>
  </si>
  <si>
    <t>Difloxacin</t>
  </si>
  <si>
    <t>dihydrostreptomycin</t>
  </si>
  <si>
    <t>Dihydrostreptomycin</t>
  </si>
  <si>
    <t>enramycin</t>
  </si>
  <si>
    <t>Enramycin</t>
  </si>
  <si>
    <t>enrofloxacin</t>
  </si>
  <si>
    <t>Enrofloxacin</t>
  </si>
  <si>
    <t>erythromycin</t>
  </si>
  <si>
    <t>Erythromycin</t>
  </si>
  <si>
    <t>florphenicol</t>
  </si>
  <si>
    <t>Florphenicol</t>
  </si>
  <si>
    <t>flumequin</t>
  </si>
  <si>
    <t>Flumequin</t>
  </si>
  <si>
    <t>fortimycin</t>
  </si>
  <si>
    <t>Fortimycin</t>
  </si>
  <si>
    <t>fosfomycin</t>
  </si>
  <si>
    <t>Fosfomycin</t>
  </si>
  <si>
    <t>framycetin</t>
  </si>
  <si>
    <t>Framycetin</t>
  </si>
  <si>
    <t>fusidicacid</t>
  </si>
  <si>
    <t>Fusidic acid</t>
  </si>
  <si>
    <t>gamithromycin</t>
  </si>
  <si>
    <t>Gamithromycin</t>
  </si>
  <si>
    <t>gentamicin</t>
  </si>
  <si>
    <t>Gentamicin</t>
  </si>
  <si>
    <t>gramicidin</t>
  </si>
  <si>
    <t>Gramicidin</t>
  </si>
  <si>
    <t>hetacillin</t>
  </si>
  <si>
    <t>Hetacillin</t>
  </si>
  <si>
    <t>josamycin</t>
  </si>
  <si>
    <t>Josamycin</t>
  </si>
  <si>
    <t>kanamycin</t>
  </si>
  <si>
    <t>Kanamycin</t>
  </si>
  <si>
    <t>kitasamycin</t>
  </si>
  <si>
    <t>Kitasamycin</t>
  </si>
  <si>
    <t>lasalocid</t>
  </si>
  <si>
    <t>Lasalocid</t>
  </si>
  <si>
    <t>lincomycin</t>
  </si>
  <si>
    <t>Lincomycin</t>
  </si>
  <si>
    <t>maduramycin</t>
  </si>
  <si>
    <t>Maduramycin</t>
  </si>
  <si>
    <t>marbofloxacin</t>
  </si>
  <si>
    <t>Marbofloxacin</t>
  </si>
  <si>
    <t>mecillinam</t>
  </si>
  <si>
    <t>Mecillinam</t>
  </si>
  <si>
    <t>miloxacin</t>
  </si>
  <si>
    <t>Miloxacin</t>
  </si>
  <si>
    <t>mirosamycin</t>
  </si>
  <si>
    <t>Mirosamycin</t>
  </si>
  <si>
    <t>monensin</t>
  </si>
  <si>
    <t>Monensin</t>
  </si>
  <si>
    <t>nafcillin</t>
  </si>
  <si>
    <t>Nafcillin</t>
  </si>
  <si>
    <t>nalidixicacid</t>
  </si>
  <si>
    <t>Nalidixic acid</t>
  </si>
  <si>
    <t>narasin</t>
  </si>
  <si>
    <t>Narasin</t>
  </si>
  <si>
    <t>neomycin</t>
  </si>
  <si>
    <t>Neomycin</t>
  </si>
  <si>
    <t>nitarsone</t>
  </si>
  <si>
    <t>Nitarsone</t>
  </si>
  <si>
    <t>norfloxacin</t>
  </si>
  <si>
    <t>Norfloxacin</t>
  </si>
  <si>
    <t>nosiheptide</t>
  </si>
  <si>
    <t>Nosiheptide</t>
  </si>
  <si>
    <t>novobiocin</t>
  </si>
  <si>
    <t>Novobiocin</t>
  </si>
  <si>
    <t>ofloxacin</t>
  </si>
  <si>
    <t>Ofloxacin</t>
  </si>
  <si>
    <t>olaquindox</t>
  </si>
  <si>
    <t>Olaquindox</t>
  </si>
  <si>
    <t>oleandomycin</t>
  </si>
  <si>
    <t>Oleandomycin</t>
  </si>
  <si>
    <t>orbifloxacin</t>
  </si>
  <si>
    <t>Orbifloxacin</t>
  </si>
  <si>
    <t>ormetoprim</t>
  </si>
  <si>
    <t>Ormetoprim</t>
  </si>
  <si>
    <t>ormetoprim_sulfadimethoxine</t>
  </si>
  <si>
    <t>Ormetoprim + sulfadimethoxine</t>
  </si>
  <si>
    <t>oxacillin</t>
  </si>
  <si>
    <t>Oxacillin</t>
  </si>
  <si>
    <t>oxolinicacid</t>
  </si>
  <si>
    <t>Oxolinic acid</t>
  </si>
  <si>
    <t>paromomycin</t>
  </si>
  <si>
    <t>Paromomycin</t>
  </si>
  <si>
    <t>penethamate_hydroiodide</t>
  </si>
  <si>
    <t>Penethamate (hydroiodide)</t>
  </si>
  <si>
    <t>phenethicillin</t>
  </si>
  <si>
    <t>Phenethicillin</t>
  </si>
  <si>
    <t>phenoxymethylpenicillin</t>
  </si>
  <si>
    <t>Phenoxymethylpenicillin</t>
  </si>
  <si>
    <t>phthalylsulfathiazole</t>
  </si>
  <si>
    <t>Phthalylsulfathiazole</t>
  </si>
  <si>
    <t>pirlimycin</t>
  </si>
  <si>
    <t>Pirlimycin</t>
  </si>
  <si>
    <t>polymixin</t>
  </si>
  <si>
    <t>Polymixin</t>
  </si>
  <si>
    <t>rifampicin</t>
  </si>
  <si>
    <t>Rifampicin</t>
  </si>
  <si>
    <t>rifaximin</t>
  </si>
  <si>
    <t>Rifaximin</t>
  </si>
  <si>
    <t>roxarsone</t>
  </si>
  <si>
    <t>Roxarsone</t>
  </si>
  <si>
    <t>salinomycin</t>
  </si>
  <si>
    <t>Salinomycin</t>
  </si>
  <si>
    <t>sarafloxacin</t>
  </si>
  <si>
    <t>Sarafloxacin</t>
  </si>
  <si>
    <t>sedecamycin</t>
  </si>
  <si>
    <t>Sedecamycin</t>
  </si>
  <si>
    <t>semduramicin</t>
  </si>
  <si>
    <t>Semduramicin</t>
  </si>
  <si>
    <t>spectinomycin</t>
  </si>
  <si>
    <t>Spectinomycin</t>
  </si>
  <si>
    <t>spiramycin</t>
  </si>
  <si>
    <t>Spiramycin</t>
  </si>
  <si>
    <t>streptomycin</t>
  </si>
  <si>
    <t>Streptomycin</t>
  </si>
  <si>
    <t>sulfachlorpyridazine</t>
  </si>
  <si>
    <t>Sulfachlorpyridazine</t>
  </si>
  <si>
    <t>sulfadiazine</t>
  </si>
  <si>
    <t>Sulfadiazine</t>
  </si>
  <si>
    <t>sulfadimethoxine</t>
  </si>
  <si>
    <t>Sulfadimethoxine</t>
  </si>
  <si>
    <t>sulfadimidine_sulfamethazine_sulfadimerazine</t>
  </si>
  <si>
    <t>Sulfadimidine (sulfamethazine, sulfadimerazine)</t>
  </si>
  <si>
    <t>sulfadoxine</t>
  </si>
  <si>
    <t>Sulfadoxine</t>
  </si>
  <si>
    <t>sulfafurazole</t>
  </si>
  <si>
    <t>Sulfafurazole</t>
  </si>
  <si>
    <t>sulfaguanidine</t>
  </si>
  <si>
    <t>Sulfaguanidine</t>
  </si>
  <si>
    <t>sulfamerazine</t>
  </si>
  <si>
    <t>Sulfamerazine</t>
  </si>
  <si>
    <t>sulfamethoxine</t>
  </si>
  <si>
    <t>Sulfamethoxine</t>
  </si>
  <si>
    <t>sulfamethoxypyridazine</t>
  </si>
  <si>
    <t>Sulfamethoxypyridazine</t>
  </si>
  <si>
    <t>sulfamonomethoxine</t>
  </si>
  <si>
    <t>Sulfamonomethoxine</t>
  </si>
  <si>
    <t>sulfanilamide</t>
  </si>
  <si>
    <t>Sulfanilamide</t>
  </si>
  <si>
    <t>sulfapyridine</t>
  </si>
  <si>
    <t>Sulfapyridine</t>
  </si>
  <si>
    <t>terdecamycin</t>
  </si>
  <si>
    <t>Terdecamycin</t>
  </si>
  <si>
    <t>thiamphenicol</t>
  </si>
  <si>
    <t>Thiamphenicol</t>
  </si>
  <si>
    <t>tiamulin</t>
  </si>
  <si>
    <t>Tiamulin</t>
  </si>
  <si>
    <t>ticarcillin</t>
  </si>
  <si>
    <t>Ticarcillin</t>
  </si>
  <si>
    <t>tildipirosin</t>
  </si>
  <si>
    <t>Tildipirosin</t>
  </si>
  <si>
    <t>tilmicosin</t>
  </si>
  <si>
    <t>Tilmicosin</t>
  </si>
  <si>
    <t>tobicillin</t>
  </si>
  <si>
    <t>Tobicillin</t>
  </si>
  <si>
    <t>tobramycin</t>
  </si>
  <si>
    <t>Tobramycin</t>
  </si>
  <si>
    <t>trimethoprim</t>
  </si>
  <si>
    <t>Trimethoprim</t>
  </si>
  <si>
    <t>trimethoprim_sulphonamide</t>
  </si>
  <si>
    <t>Trimethoprim + sulphonamide</t>
  </si>
  <si>
    <t>tulathromycin</t>
  </si>
  <si>
    <t>Tulathromycin</t>
  </si>
  <si>
    <t>tylvalosin</t>
  </si>
  <si>
    <t>Tylvalosin</t>
  </si>
  <si>
    <t>valnemulin</t>
  </si>
  <si>
    <t>Valnemulin</t>
  </si>
  <si>
    <t>virginiamycin</t>
  </si>
  <si>
    <t>Virginiamycin</t>
  </si>
  <si>
    <t>commercial_feeds</t>
  </si>
  <si>
    <t>unga</t>
  </si>
  <si>
    <t>sigma</t>
  </si>
  <si>
    <t>mamboleo</t>
  </si>
  <si>
    <t>empire</t>
  </si>
  <si>
    <t>bidco</t>
  </si>
  <si>
    <t>chania</t>
  </si>
  <si>
    <t>jumuia</t>
  </si>
  <si>
    <t>pembe</t>
  </si>
  <si>
    <t>faida</t>
  </si>
  <si>
    <t>Faida feeds</t>
  </si>
  <si>
    <t>daima</t>
  </si>
  <si>
    <t>Daima feeds</t>
  </si>
  <si>
    <t>farm_feeds</t>
  </si>
  <si>
    <t>Farm feeds</t>
  </si>
  <si>
    <t>holm</t>
  </si>
  <si>
    <t>Holm farm feeds</t>
  </si>
  <si>
    <t>suguna</t>
  </si>
  <si>
    <t>Suguna feeds</t>
  </si>
  <si>
    <t>jubilee</t>
  </si>
  <si>
    <t>yammie</t>
  </si>
  <si>
    <t>mavuno</t>
  </si>
  <si>
    <t>masters</t>
  </si>
  <si>
    <t>sidai</t>
  </si>
  <si>
    <t>symptoms</t>
  </si>
  <si>
    <t>sneezing</t>
  </si>
  <si>
    <t>Hắt hơi, khẹc, vẩy mỏ</t>
  </si>
  <si>
    <t>coughing</t>
  </si>
  <si>
    <t>Ho</t>
  </si>
  <si>
    <t>wheezing</t>
  </si>
  <si>
    <t>Thở khò khè</t>
  </si>
  <si>
    <t>water_belly</t>
  </si>
  <si>
    <t>Tích nước xoang bụng</t>
  </si>
  <si>
    <t>rales</t>
  </si>
  <si>
    <t>Tiếng ran</t>
  </si>
  <si>
    <t>sweeling_eys</t>
  </si>
  <si>
    <t>Sưng vùng quanh mắt và chảy dịch từ mắt, mũi, mỏ</t>
  </si>
  <si>
    <t>heart_attack</t>
  </si>
  <si>
    <t>Suy tim</t>
  </si>
  <si>
    <t>nasal_discharge</t>
  </si>
  <si>
    <t>Chảy nước mũi</t>
  </si>
  <si>
    <t>gasping_breething</t>
  </si>
  <si>
    <t>Rướn cổ thở, khẹc, vẩy mỏ, và thở có tiếng ồn</t>
  </si>
  <si>
    <t>purulent</t>
  </si>
  <si>
    <t>Mũi chảy dịch mủ</t>
  </si>
  <si>
    <t>diff_breathing</t>
  </si>
  <si>
    <t>Thở khó</t>
  </si>
  <si>
    <t>gasping</t>
  </si>
  <si>
    <t>Rướn cổ thở</t>
  </si>
  <si>
    <t>watery_diarrhoea</t>
  </si>
  <si>
    <t>Tiêu chảy phân lỏng</t>
  </si>
  <si>
    <t>yellow_diarrhoea</t>
  </si>
  <si>
    <t>Tiêu chảy phân vàng</t>
  </si>
  <si>
    <t>green_diarrhoea</t>
  </si>
  <si>
    <t>Tiêu chảy phân xanh</t>
  </si>
  <si>
    <t>white_droppings</t>
  </si>
  <si>
    <t>Tiêu chảy phân trắng có ánh xanh (từ mật)</t>
  </si>
  <si>
    <t>bloody_droppings</t>
  </si>
  <si>
    <t>Tiêu chảy có máu</t>
  </si>
  <si>
    <t>loss_appetite</t>
  </si>
  <si>
    <t>Giảm ăn</t>
  </si>
  <si>
    <t>acute_depress</t>
  </si>
  <si>
    <t>Ủ rũ</t>
  </si>
  <si>
    <t>emaciation</t>
  </si>
  <si>
    <t>Còi cọc</t>
  </si>
  <si>
    <t>retarded_growth</t>
  </si>
  <si>
    <t>Chậm lớn, lớn không đồng đều</t>
  </si>
  <si>
    <t>vent_pecking</t>
  </si>
  <si>
    <t>Mổ lỗ hậu môn</t>
  </si>
  <si>
    <t>vent_pasting</t>
  </si>
  <si>
    <t>Phân dính, đóng cục trắng xung quanh lỗ hậu môn</t>
  </si>
  <si>
    <t>reduced_h2o</t>
  </si>
  <si>
    <t>Giảm uống dẫn đến mất nước</t>
  </si>
  <si>
    <t>increased_h2o</t>
  </si>
  <si>
    <t>Uống nước nhiều</t>
  </si>
  <si>
    <t>enlarged_abdomen</t>
  </si>
  <si>
    <t>Bụng sưng to</t>
  </si>
  <si>
    <t>inflamed_navels</t>
  </si>
  <si>
    <t>Viêm dây rốn</t>
  </si>
  <si>
    <t>lack_body_tone</t>
  </si>
  <si>
    <t>Teo cơ/gầy còm</t>
  </si>
  <si>
    <t>painful_movement</t>
  </si>
  <si>
    <t>Di chuyển khó khăn</t>
  </si>
  <si>
    <t>empty_crop</t>
  </si>
  <si>
    <t>Diều trống rỗng</t>
  </si>
  <si>
    <t>freq_swallow</t>
  </si>
  <si>
    <t>Tăng phản ứng nuốt</t>
  </si>
  <si>
    <t>obesity</t>
  </si>
  <si>
    <t>Thừa cân/béo phì</t>
  </si>
  <si>
    <t>twisting_head_neck</t>
  </si>
  <si>
    <t>Vẹo cổ và đầu</t>
  </si>
  <si>
    <t>trembling</t>
  </si>
  <si>
    <t>Run/lắc đầu và cổ</t>
  </si>
  <si>
    <t>paralysis</t>
  </si>
  <si>
    <t>Liệt</t>
  </si>
  <si>
    <t>incoordination</t>
  </si>
  <si>
    <t>Mất khả năng phối hợp vận động</t>
  </si>
  <si>
    <t>coma</t>
  </si>
  <si>
    <t>Hôn mê/mất nhận thức</t>
  </si>
  <si>
    <t>convulsions</t>
  </si>
  <si>
    <t>Co giật</t>
  </si>
  <si>
    <t>stumbling</t>
  </si>
  <si>
    <t>Đi đứng không vững</t>
  </si>
  <si>
    <t>staggering</t>
  </si>
  <si>
    <t>Đi đứng lảo đảo, không vững</t>
  </si>
  <si>
    <t>lameness</t>
  </si>
  <si>
    <t>swollen_joints</t>
  </si>
  <si>
    <t>Sưng khớp</t>
  </si>
  <si>
    <t>breast_blisters</t>
  </si>
  <si>
    <t>Các mụn nước vùng ức</t>
  </si>
  <si>
    <t>drooping_wings_legs</t>
  </si>
  <si>
    <t>Sã cánh và chân</t>
  </si>
  <si>
    <t>sit_lie_down</t>
  </si>
  <si>
    <t>Ngồi/nằm xuống</t>
  </si>
  <si>
    <t>swelling_footpads</t>
  </si>
  <si>
    <t>Sưng cụm bàn chân</t>
  </si>
  <si>
    <t>paleness</t>
  </si>
  <si>
    <t>Nhợt nhạt</t>
  </si>
  <si>
    <t>weakness</t>
  </si>
  <si>
    <t>Yếu ớt</t>
  </si>
  <si>
    <t>neck_stretching</t>
  </si>
  <si>
    <t>Rướn cổ</t>
  </si>
  <si>
    <t>abnormal_skeletal_dev</t>
  </si>
  <si>
    <t>Khung xương phát triển bất thường</t>
  </si>
  <si>
    <t>soft_bones_legs</t>
  </si>
  <si>
    <t>Xương mềm và dễ gãy</t>
  </si>
  <si>
    <t>curly_toes</t>
  </si>
  <si>
    <t>Khoeo chân</t>
  </si>
  <si>
    <t>injuries</t>
  </si>
  <si>
    <t>Các tổn thương/bệnh tích trên da – đầu, mào, yếm</t>
  </si>
  <si>
    <t>damaged_feathers</t>
  </si>
  <si>
    <t>Lông gãy, dập</t>
  </si>
  <si>
    <t>comb_color_change</t>
  </si>
  <si>
    <t>Thay đổi màu sắc niêm mạc ở mào/yếm (nhợt nhạt, sẫm hoặc thâm – tím tái)</t>
  </si>
  <si>
    <t>dull_eyes</t>
  </si>
  <si>
    <t>Mắt và mào xỉn</t>
  </si>
  <si>
    <t>poor_feathering</t>
  </si>
  <si>
    <t>Lông xơ xác</t>
  </si>
  <si>
    <t>enlarged_feather_follicles</t>
  </si>
  <si>
    <t>Lỗ chân lông giãn nở</t>
  </si>
  <si>
    <t>irregular_pupils</t>
  </si>
  <si>
    <t>Đồng tử không đều</t>
  </si>
  <si>
    <t>keratinization</t>
  </si>
  <si>
    <t>Sừng hóa biểu mô</t>
  </si>
  <si>
    <t>eyes_grey_iris</t>
  </si>
  <si>
    <t>Mống mắt xám và co thắt</t>
  </si>
  <si>
    <t>futid_putrid</t>
  </si>
  <si>
    <t>Vết thương có mùi hôi thối/hoại tử</t>
  </si>
  <si>
    <t>nodular_lesions</t>
  </si>
  <si>
    <t>Bệnh tích hạt trên vùng da không lông (mụn đậu)</t>
  </si>
  <si>
    <t>head_swelling</t>
  </si>
  <si>
    <t>Sưng đầu (sưng vùng mặt)</t>
  </si>
  <si>
    <t>lesions_mouth</t>
  </si>
  <si>
    <t>Vết thương niêm mạc miệng</t>
  </si>
  <si>
    <t>uncomfortable_scratching</t>
  </si>
  <si>
    <t>Vết xước, vết mổ gây khó chịu</t>
  </si>
  <si>
    <t>loss_feathers</t>
  </si>
  <si>
    <t>Rụng lông</t>
  </si>
  <si>
    <t>damaged_pulmage</t>
  </si>
  <si>
    <t>Bộ lông bị tổn thương</t>
  </si>
  <si>
    <t>oedema</t>
  </si>
  <si>
    <t>Phù đầu cánh, yếm và chân</t>
  </si>
  <si>
    <t>dark_gangrenous_skin</t>
  </si>
  <si>
    <t>Xuất hiện vùng da xuất huyết và mô hoại tử ở cánh, ngực, đùi và chân</t>
  </si>
  <si>
    <t>gas_bubbles</t>
  </si>
  <si>
    <t>Bệnh tích có sinh khí</t>
  </si>
  <si>
    <t>blindness</t>
  </si>
  <si>
    <t>Mù</t>
  </si>
  <si>
    <t>bulging_eyeballs</t>
  </si>
  <si>
    <t>Mắt lồi ra ngoài</t>
  </si>
  <si>
    <t>reddish_skin</t>
  </si>
  <si>
    <t>Xuất hiện vùng da bị đỏ/thâm tím</t>
  </si>
  <si>
    <t>fever</t>
  </si>
  <si>
    <t>Tăng/giảm thân nhiệt</t>
  </si>
  <si>
    <t>jaundice</t>
  </si>
  <si>
    <t>Vàng da</t>
  </si>
  <si>
    <t>watery_eyes</t>
  </si>
  <si>
    <t>Chảy nước mắt</t>
  </si>
  <si>
    <t>tired_lifeless</t>
  </si>
  <si>
    <t>Mệt mỏi, mất sức, ủ rũ, không tỉnh táo</t>
  </si>
  <si>
    <t>excitability</t>
  </si>
  <si>
    <t>Dễ bị kích thích</t>
  </si>
  <si>
    <t>reduced_prod</t>
  </si>
  <si>
    <t>Giảm năng suất (tăng cân nặng–giảm điểm thể trạng)</t>
  </si>
  <si>
    <t>high_mortality</t>
  </si>
  <si>
    <t>Tỷ lệ chết cao</t>
  </si>
  <si>
    <t>sudden_death</t>
  </si>
  <si>
    <t>Chết đột ngột</t>
  </si>
  <si>
    <t>ocular_discharge</t>
  </si>
  <si>
    <t>Mắt chảy dịch mủ</t>
  </si>
  <si>
    <t>increased_cannibalism</t>
  </si>
  <si>
    <t>Gà có biểu hiện mổ lẫn nhau</t>
  </si>
  <si>
    <t xml:space="preserve">eugine </t>
  </si>
  <si>
    <t>Xuân Huyên</t>
  </si>
  <si>
    <t>dishon</t>
  </si>
  <si>
    <t>Hải Yến</t>
  </si>
  <si>
    <t>arshnee</t>
  </si>
  <si>
    <t>Văn Hường</t>
  </si>
  <si>
    <t xml:space="preserve">jane </t>
  </si>
  <si>
    <t>Trung Kiên</t>
  </si>
  <si>
    <t>cynthia</t>
  </si>
  <si>
    <t>Phương Anh</t>
  </si>
  <si>
    <t>ian</t>
  </si>
  <si>
    <t>Ngô Họa</t>
  </si>
  <si>
    <t>anthony</t>
  </si>
  <si>
    <t>Ngọc Ánh</t>
  </si>
  <si>
    <t>mercy</t>
  </si>
  <si>
    <t>Thu Hằng</t>
  </si>
  <si>
    <t>linnet</t>
  </si>
  <si>
    <t>Khánh Linh</t>
  </si>
  <si>
    <t>bernard</t>
  </si>
  <si>
    <t>Xuân Sinh</t>
  </si>
  <si>
    <t>vaccinating</t>
  </si>
  <si>
    <t>implement_biosecurity</t>
  </si>
  <si>
    <t>chick_start</t>
  </si>
  <si>
    <t>Chick start</t>
  </si>
  <si>
    <t>amilyte</t>
  </si>
  <si>
    <t>Amilyte</t>
  </si>
  <si>
    <t>poltricin</t>
  </si>
  <si>
    <t>Poltricin</t>
  </si>
  <si>
    <t>vitapoult</t>
  </si>
  <si>
    <t>Vitapoult</t>
  </si>
  <si>
    <t>vita_boost</t>
  </si>
  <si>
    <t>Vita boost</t>
  </si>
  <si>
    <t>monvit__p</t>
  </si>
  <si>
    <t>Monvit -P</t>
  </si>
  <si>
    <t>venlyte_powder</t>
  </si>
  <si>
    <t>Venlyte powder</t>
  </si>
  <si>
    <t>superminovit</t>
  </si>
  <si>
    <t>Superminovit</t>
  </si>
  <si>
    <t>ovin</t>
  </si>
  <si>
    <t>Ovin</t>
  </si>
  <si>
    <t>chick_formula</t>
  </si>
  <si>
    <t>Chick formula</t>
  </si>
  <si>
    <t>sidai_poultry_vitamins</t>
  </si>
  <si>
    <t>Sidai poultry vitamins</t>
  </si>
  <si>
    <t>broiler_booster</t>
  </si>
  <si>
    <t>Broiler booster</t>
  </si>
  <si>
    <t>bovitam</t>
  </si>
  <si>
    <t>Bovitam</t>
  </si>
  <si>
    <t>butaphos</t>
  </si>
  <si>
    <t>Butaphos</t>
  </si>
  <si>
    <t>super_broiler_boost</t>
  </si>
  <si>
    <t>Super broiler boost</t>
  </si>
  <si>
    <t>layers_extra</t>
  </si>
  <si>
    <t>Layers extra</t>
  </si>
  <si>
    <t>ultivita_chick_boost</t>
  </si>
  <si>
    <t>Ultivita chick boost</t>
  </si>
  <si>
    <t>vigosine</t>
  </si>
  <si>
    <t>Vigosine</t>
  </si>
  <si>
    <t>cosvita_ws</t>
  </si>
  <si>
    <t>Cosvita WS</t>
  </si>
  <si>
    <t>amivito</t>
  </si>
  <si>
    <t>Amivito</t>
  </si>
  <si>
    <t>amin’total</t>
  </si>
  <si>
    <t>Amin’total</t>
  </si>
  <si>
    <t>electrojat</t>
  </si>
  <si>
    <t>Electrojat</t>
  </si>
  <si>
    <t>strexia</t>
  </si>
  <si>
    <t>Strexia</t>
  </si>
  <si>
    <t>monsel</t>
  </si>
  <si>
    <t>Monsel</t>
  </si>
  <si>
    <t>becojat</t>
  </si>
  <si>
    <t>Becojat</t>
  </si>
  <si>
    <t>antox</t>
  </si>
  <si>
    <t>Antox</t>
  </si>
  <si>
    <t>tetracolivit</t>
  </si>
  <si>
    <t>Tetracolivit</t>
  </si>
  <si>
    <t>amino_vital_solution</t>
  </si>
  <si>
    <t>Amino vital solution</t>
  </si>
  <si>
    <t>superskajcycline</t>
  </si>
  <si>
    <t>Superskajcycline</t>
  </si>
  <si>
    <t>livergen_plus</t>
  </si>
  <si>
    <t>Livergen plus</t>
  </si>
  <si>
    <t>livotox</t>
  </si>
  <si>
    <t>Livotox</t>
  </si>
  <si>
    <t>superenzymes</t>
  </si>
  <si>
    <t>SuperEnzymes</t>
  </si>
  <si>
    <t>tonophos</t>
  </si>
  <si>
    <t>Tonophos</t>
  </si>
  <si>
    <t>amidiostat_plus</t>
  </si>
  <si>
    <t>Amidiostat plus</t>
  </si>
  <si>
    <t>super_chick_starter</t>
  </si>
  <si>
    <t>Super chick starter</t>
  </si>
  <si>
    <t>beekom_i</t>
  </si>
  <si>
    <t>Beekom-I</t>
  </si>
  <si>
    <t>neoxy_vitamin_wsp</t>
  </si>
  <si>
    <t>Neoxy-vitamin WSP</t>
  </si>
  <si>
    <t>vitamin_ad3e_forte</t>
  </si>
  <si>
    <t>Vitamin AD3E forte</t>
  </si>
  <si>
    <t>skavit</t>
  </si>
  <si>
    <t>Skavit</t>
  </si>
  <si>
    <t>multivitamin</t>
  </si>
  <si>
    <t>Multivitamin</t>
  </si>
  <si>
    <t>agri_tonic</t>
  </si>
  <si>
    <t>Agri-tonic</t>
  </si>
  <si>
    <t>supervitamin</t>
  </si>
  <si>
    <t>Supervitamin</t>
  </si>
  <si>
    <t>calcyum</t>
  </si>
  <si>
    <t>Calcyum</t>
  </si>
  <si>
    <t>oxysol_plus</t>
  </si>
  <si>
    <t>Oxysol plus</t>
  </si>
  <si>
    <t>animatic_batisa</t>
  </si>
  <si>
    <t>Animatic batisa</t>
  </si>
  <si>
    <t>introvit_a_oral</t>
  </si>
  <si>
    <t>Introvit A + Oral</t>
  </si>
  <si>
    <t>nemovit_ws_egg_formula</t>
  </si>
  <si>
    <t>Nemovit WS (egg formula)</t>
  </si>
  <si>
    <t>vigorex</t>
  </si>
  <si>
    <t>Vigorex</t>
  </si>
  <si>
    <t>solvita_te</t>
  </si>
  <si>
    <t>SolVita-TE</t>
  </si>
  <si>
    <t>stimosol_oral</t>
  </si>
  <si>
    <t>Stimosol oral</t>
  </si>
  <si>
    <t>diamond_mvs_egg_boost</t>
  </si>
  <si>
    <t>Diamond MVS (egg boost)</t>
  </si>
  <si>
    <t>agrivitam</t>
  </si>
  <si>
    <t>Agrivitam</t>
  </si>
  <si>
    <t>amivit</t>
  </si>
  <si>
    <t>Amivit</t>
  </si>
  <si>
    <t>lemycin__chick_formula</t>
  </si>
  <si>
    <t>Lemycin (Chick formula)</t>
  </si>
  <si>
    <t>nerixin_layer</t>
  </si>
  <si>
    <t>Nerixin Layer</t>
  </si>
  <si>
    <t>intrafer_100_b12</t>
  </si>
  <si>
    <t>Intrafer-100 B12</t>
  </si>
  <si>
    <t>niltox_l</t>
  </si>
  <si>
    <t>Niltox-L</t>
  </si>
  <si>
    <t>dawa_boo_ws</t>
  </si>
  <si>
    <t>Dawa Boo-WS</t>
  </si>
  <si>
    <t>sequ_vit</t>
  </si>
  <si>
    <t>Sequ-vit</t>
  </si>
  <si>
    <t>wellvet_chick_start</t>
  </si>
  <si>
    <t>Wellvet Chick start</t>
  </si>
  <si>
    <t>form_title</t>
  </si>
  <si>
    <t>form_id</t>
  </si>
  <si>
    <t>default_language</t>
  </si>
  <si>
    <t>version</t>
  </si>
  <si>
    <t>instance_name</t>
  </si>
  <si>
    <t>style</t>
  </si>
  <si>
    <t>English</t>
  </si>
  <si>
    <t>concat(${s0q3_survey_date},'-',${s1q7_enumerator})</t>
  </si>
  <si>
    <t>theme-grid</t>
  </si>
  <si>
    <t>Dabaco</t>
  </si>
  <si>
    <t>CP</t>
  </si>
  <si>
    <t>New hopes</t>
  </si>
  <si>
    <t>Jafa</t>
  </si>
  <si>
    <t>Tân Tiến</t>
  </si>
  <si>
    <t>Toàn Thắng</t>
  </si>
  <si>
    <t>Sunjin</t>
  </si>
  <si>
    <t>Con cò</t>
  </si>
  <si>
    <t>Cargill</t>
  </si>
  <si>
    <t>TP Thái Nguyen</t>
  </si>
  <si>
    <t>Sông Công</t>
  </si>
  <si>
    <t>Kabete</t>
  </si>
  <si>
    <t>Kajiado central</t>
  </si>
  <si>
    <t>Kajiado east</t>
  </si>
  <si>
    <t>Kajiado north</t>
  </si>
  <si>
    <t>Kajiado south</t>
  </si>
  <si>
    <t>Kajiado west</t>
  </si>
  <si>
    <t>077</t>
  </si>
  <si>
    <t>Kangundo</t>
  </si>
  <si>
    <t>079</t>
  </si>
  <si>
    <t>Kathiani</t>
  </si>
  <si>
    <t>Kiambaa</t>
  </si>
  <si>
    <t>Kiambu</t>
  </si>
  <si>
    <t>Kikuyu</t>
  </si>
  <si>
    <t>Lari</t>
  </si>
  <si>
    <t>Limuru</t>
  </si>
  <si>
    <t>081</t>
  </si>
  <si>
    <t>Machakos town</t>
  </si>
  <si>
    <t>075</t>
  </si>
  <si>
    <t>Masinga</t>
  </si>
  <si>
    <t>078</t>
  </si>
  <si>
    <t>Matungulu</t>
  </si>
  <si>
    <t>080</t>
  </si>
  <si>
    <t>Mavoko</t>
  </si>
  <si>
    <t>082</t>
  </si>
  <si>
    <t>Mwala</t>
  </si>
  <si>
    <t>Ruiru</t>
  </si>
  <si>
    <t>Thika town</t>
  </si>
  <si>
    <t>076</t>
  </si>
  <si>
    <t>Yatta</t>
  </si>
  <si>
    <t>0394</t>
  </si>
  <si>
    <t>Tân Khánh</t>
  </si>
  <si>
    <t>0601</t>
  </si>
  <si>
    <t>Úc Sơn</t>
  </si>
  <si>
    <t>0557</t>
  </si>
  <si>
    <t>Cầu Mây</t>
  </si>
  <si>
    <t>0586</t>
  </si>
  <si>
    <t>0918</t>
  </si>
  <si>
    <t>Dalalekutuk</t>
  </si>
  <si>
    <t>0373</t>
  </si>
  <si>
    <t>Ekalakala</t>
  </si>
  <si>
    <t>0931</t>
  </si>
  <si>
    <t>Entonet/lenkisim</t>
  </si>
  <si>
    <t>0929</t>
  </si>
  <si>
    <t>Ewuaso oonkidong'i</t>
  </si>
  <si>
    <t>0571</t>
  </si>
  <si>
    <t>gatongora</t>
  </si>
  <si>
    <t>0567</t>
  </si>
  <si>
    <t>Gatuanyaga</t>
  </si>
  <si>
    <t>0591</t>
  </si>
  <si>
    <t>Gitaru</t>
  </si>
  <si>
    <t>0578</t>
  </si>
  <si>
    <t>Githiga</t>
  </si>
  <si>
    <t>0556</t>
  </si>
  <si>
    <t>Githobokoni</t>
  </si>
  <si>
    <t>0577</t>
  </si>
  <si>
    <t>Githunguri</t>
  </si>
  <si>
    <t>0569</t>
  </si>
  <si>
    <t>gitothua</t>
  </si>
  <si>
    <t>0555</t>
  </si>
  <si>
    <t>Gituamba</t>
  </si>
  <si>
    <t>0566</t>
  </si>
  <si>
    <t>Hospital</t>
  </si>
  <si>
    <t>0579</t>
  </si>
  <si>
    <t>Ikinu</t>
  </si>
  <si>
    <t>0379</t>
  </si>
  <si>
    <t>Ikombe</t>
  </si>
  <si>
    <t>0917</t>
  </si>
  <si>
    <t>Ildamat</t>
  </si>
  <si>
    <t>0927</t>
  </si>
  <si>
    <t>Iloodokilani</t>
  </si>
  <si>
    <t>0925</t>
  </si>
  <si>
    <t>Imaroro</t>
  </si>
  <si>
    <t>0561</t>
  </si>
  <si>
    <t>Juja</t>
  </si>
  <si>
    <t>0594</t>
  </si>
  <si>
    <t>0572</t>
  </si>
  <si>
    <t>kahawa sukari</t>
  </si>
  <si>
    <t>0573</t>
  </si>
  <si>
    <t>kahawa wendani</t>
  </si>
  <si>
    <t>0398</t>
  </si>
  <si>
    <t>Kalama</t>
  </si>
  <si>
    <t>0563</t>
  </si>
  <si>
    <t>Kalimoni</t>
  </si>
  <si>
    <t>0609</t>
  </si>
  <si>
    <t>Kamburu</t>
  </si>
  <si>
    <t>0565</t>
  </si>
  <si>
    <t>Kamenu</t>
  </si>
  <si>
    <t>0382</t>
  </si>
  <si>
    <t>Kangundo central</t>
  </si>
  <si>
    <t>0383</t>
  </si>
  <si>
    <t>Kangundo east</t>
  </si>
  <si>
    <t>0381</t>
  </si>
  <si>
    <t>Kangundo north</t>
  </si>
  <si>
    <t>0384</t>
  </si>
  <si>
    <t>Kangundo west</t>
  </si>
  <si>
    <t>0921</t>
  </si>
  <si>
    <t>Kaputiei north</t>
  </si>
  <si>
    <t>0596</t>
  </si>
  <si>
    <t>Karai</t>
  </si>
  <si>
    <t>0587</t>
  </si>
  <si>
    <t>Karuri</t>
  </si>
  <si>
    <t>0380</t>
  </si>
  <si>
    <t>Katangi</t>
  </si>
  <si>
    <t>0391</t>
  </si>
  <si>
    <t>Kathiani central</t>
  </si>
  <si>
    <t>0926</t>
  </si>
  <si>
    <t>Keekonyokie</t>
  </si>
  <si>
    <t>0924</t>
  </si>
  <si>
    <t>Kenyawa-poka</t>
  </si>
  <si>
    <t>0551</t>
  </si>
  <si>
    <t>Kiamwangi</t>
  </si>
  <si>
    <t>0410</t>
  </si>
  <si>
    <t>Kibauni</t>
  </si>
  <si>
    <t>0552</t>
  </si>
  <si>
    <t>Kiganjo</t>
  </si>
  <si>
    <t>0590</t>
  </si>
  <si>
    <t>Kihara</t>
  </si>
  <si>
    <t>0607</t>
  </si>
  <si>
    <t>Kijabe</t>
  </si>
  <si>
    <t>0599</t>
  </si>
  <si>
    <t>0935</t>
  </si>
  <si>
    <t>Kimana</t>
  </si>
  <si>
    <t>0606</t>
  </si>
  <si>
    <t>Kinale</t>
  </si>
  <si>
    <t>0395</t>
  </si>
  <si>
    <t>Kinanie</t>
  </si>
  <si>
    <t>0600</t>
  </si>
  <si>
    <t>Kinoo</t>
  </si>
  <si>
    <t>0922</t>
  </si>
  <si>
    <t>Kitengela</t>
  </si>
  <si>
    <t>0378</t>
  </si>
  <si>
    <t>Kithimani</t>
  </si>
  <si>
    <t>0574</t>
  </si>
  <si>
    <t>kiuu</t>
  </si>
  <si>
    <t>0371</t>
  </si>
  <si>
    <t>Kivaa</t>
  </si>
  <si>
    <t>0404</t>
  </si>
  <si>
    <t>Kola</t>
  </si>
  <si>
    <t>0581</t>
  </si>
  <si>
    <t>Komothai</t>
  </si>
  <si>
    <t>0933</t>
  </si>
  <si>
    <t>Kuku</t>
  </si>
  <si>
    <t>0389</t>
  </si>
  <si>
    <t>Kyeleni</t>
  </si>
  <si>
    <t>0610</t>
  </si>
  <si>
    <t>Lari/kirenga</t>
  </si>
  <si>
    <t>0602</t>
  </si>
  <si>
    <t>Limuru central</t>
  </si>
  <si>
    <t>0604</t>
  </si>
  <si>
    <t>Limuru east</t>
  </si>
  <si>
    <t>0393</t>
  </si>
  <si>
    <t>Lower kaewa/kaani</t>
  </si>
  <si>
    <t>0401</t>
  </si>
  <si>
    <t>Machakos central</t>
  </si>
  <si>
    <t>0928</t>
  </si>
  <si>
    <t>Magadi</t>
  </si>
  <si>
    <t>0406</t>
  </si>
  <si>
    <t>Makutano/ mwala</t>
  </si>
  <si>
    <t>0558</t>
  </si>
  <si>
    <t>Mang'u</t>
  </si>
  <si>
    <t>0407</t>
  </si>
  <si>
    <t>Masii</t>
  </si>
  <si>
    <t>0372</t>
  </si>
  <si>
    <t>Masinga central</t>
  </si>
  <si>
    <t>0919</t>
  </si>
  <si>
    <t>Matapato north</t>
  </si>
  <si>
    <t>0920</t>
  </si>
  <si>
    <t>Matapato south</t>
  </si>
  <si>
    <t>0387</t>
  </si>
  <si>
    <t>Matungulu east</t>
  </si>
  <si>
    <t>0386</t>
  </si>
  <si>
    <t>Matungulu north</t>
  </si>
  <si>
    <t>0388</t>
  </si>
  <si>
    <t>Matungulu west</t>
  </si>
  <si>
    <t>0377</t>
  </si>
  <si>
    <t>Matuu</t>
  </si>
  <si>
    <t>0932</t>
  </si>
  <si>
    <t>Mbirikani/eselenkei</t>
  </si>
  <si>
    <t>0405</t>
  </si>
  <si>
    <t>Mbiuni</t>
  </si>
  <si>
    <t>0390</t>
  </si>
  <si>
    <t>Mitaboni</t>
  </si>
  <si>
    <t>0930</t>
  </si>
  <si>
    <t>Mosiro</t>
  </si>
  <si>
    <t>0399</t>
  </si>
  <si>
    <t>Mua</t>
  </si>
  <si>
    <t>0589</t>
  </si>
  <si>
    <t>Muchatha</t>
  </si>
  <si>
    <t>0592</t>
  </si>
  <si>
    <t>Muguga</t>
  </si>
  <si>
    <t>0402</t>
  </si>
  <si>
    <t>Mumbuni north</t>
  </si>
  <si>
    <t>0559</t>
  </si>
  <si>
    <t>Murera</t>
  </si>
  <si>
    <t>0374</t>
  </si>
  <si>
    <t>Muthesya</t>
  </si>
  <si>
    <t>0408</t>
  </si>
  <si>
    <t>Muthetheni</t>
  </si>
  <si>
    <t>0396</t>
  </si>
  <si>
    <t>Muthwani</t>
  </si>
  <si>
    <t>0400</t>
  </si>
  <si>
    <t>Mutituni</t>
  </si>
  <si>
    <t>0403</t>
  </si>
  <si>
    <t>Muvuti/kiima-kimwe</t>
  </si>
  <si>
    <t>0576</t>
  </si>
  <si>
    <t>mwihoko</t>
  </si>
  <si>
    <t>0597</t>
  </si>
  <si>
    <t>Nachu</t>
  </si>
  <si>
    <t>0376</t>
  </si>
  <si>
    <t>Ndalani</t>
  </si>
  <si>
    <t>0553</t>
  </si>
  <si>
    <t>Ndarugu</t>
  </si>
  <si>
    <t>0603</t>
  </si>
  <si>
    <t>Ndeiya</t>
  </si>
  <si>
    <t>0588</t>
  </si>
  <si>
    <t>Ndenderu</t>
  </si>
  <si>
    <t>0375</t>
  </si>
  <si>
    <t>Ndithini</t>
  </si>
  <si>
    <t>0583</t>
  </si>
  <si>
    <t>Ndumberi</t>
  </si>
  <si>
    <t>0605</t>
  </si>
  <si>
    <t>Ngecha tigoni</t>
  </si>
  <si>
    <t>0554</t>
  </si>
  <si>
    <t>Ngenda</t>
  </si>
  <si>
    <t>0580</t>
  </si>
  <si>
    <t>Ngewa</t>
  </si>
  <si>
    <t>0568</t>
  </si>
  <si>
    <t>Ngoliba</t>
  </si>
  <si>
    <t>0915</t>
  </si>
  <si>
    <t>Ngong</t>
  </si>
  <si>
    <t>0913</t>
  </si>
  <si>
    <t>Nkaimurunya</t>
  </si>
  <si>
    <t>0593</t>
  </si>
  <si>
    <t>Nyadhuna</t>
  </si>
  <si>
    <t>0608</t>
  </si>
  <si>
    <t>Nyanduma</t>
  </si>
  <si>
    <t>0911</t>
  </si>
  <si>
    <t>Olkeri</t>
  </si>
  <si>
    <t>0914</t>
  </si>
  <si>
    <t>Oloolua</t>
  </si>
  <si>
    <t>0923</t>
  </si>
  <si>
    <t>Oloosirkon/sholinke</t>
  </si>
  <si>
    <t>0912</t>
  </si>
  <si>
    <t>Ongata rongai</t>
  </si>
  <si>
    <t>0916</t>
  </si>
  <si>
    <t>Purko</t>
  </si>
  <si>
    <t>0584</t>
  </si>
  <si>
    <t>Riabai</t>
  </si>
  <si>
    <t>0934</t>
  </si>
  <si>
    <t>Rombo</t>
  </si>
  <si>
    <t>0598</t>
  </si>
  <si>
    <t>Sigona</t>
  </si>
  <si>
    <t>0397</t>
  </si>
  <si>
    <t>Syokimau/mulolongo</t>
  </si>
  <si>
    <t>0385</t>
  </si>
  <si>
    <t>Tala</t>
  </si>
  <si>
    <t>0560</t>
  </si>
  <si>
    <t>Theta</t>
  </si>
  <si>
    <t>0582</t>
  </si>
  <si>
    <t>Ting'ang'a</t>
  </si>
  <si>
    <t>0585</t>
  </si>
  <si>
    <t>Township</t>
  </si>
  <si>
    <t>0564</t>
  </si>
  <si>
    <t>0392</t>
  </si>
  <si>
    <t>Upper kaewa/iveti</t>
  </si>
  <si>
    <t>0595</t>
  </si>
  <si>
    <t>Uthiru</t>
  </si>
  <si>
    <t>0409</t>
  </si>
  <si>
    <t>Wamunyu</t>
  </si>
  <si>
    <t>0562</t>
  </si>
  <si>
    <t>Witeithie</t>
  </si>
  <si>
    <t xml:space="preserve">Ông/bà trộn loại kháng sinh gì? </t>
  </si>
  <si>
    <t>Thông tin chi tiết về thuốc kháng sinh</t>
  </si>
  <si>
    <t>Thuốc kháng sinh</t>
  </si>
  <si>
    <t>Vật tư thú y chăn nuôi-Gà giai đoạn úm/giai đoạn đầu-Starter</t>
  </si>
  <si>
    <t>Vật tư thú y chăn nuôi-Gà giai đoạn gà giò/giai đoạn sau - Finisher</t>
  </si>
  <si>
    <t>Cám công nghiệp cho gà úm</t>
  </si>
  <si>
    <t xml:space="preserve">Ông/bà có bổ sung loại vitamin nào không? </t>
  </si>
  <si>
    <t>Vitamin</t>
  </si>
  <si>
    <t>Tính theo tuần</t>
  </si>
  <si>
    <t>Đơn vị: nghìn VNĐ</t>
  </si>
  <si>
    <t>Lựa chọn tất cả các đáp án được đề cập; không gợi ý hay nhắc nhở</t>
  </si>
  <si>
    <t>Câu hỏi cụ thể về nhãn hiệu cám</t>
  </si>
  <si>
    <t>Cty cám CP</t>
  </si>
  <si>
    <t>Cty cám Dabaco</t>
  </si>
  <si>
    <t>Cty cám New Hope</t>
  </si>
  <si>
    <t>Cty cám Greenfeed</t>
  </si>
  <si>
    <t>Cty cám Cargill</t>
  </si>
  <si>
    <t>Cty cám Hòa Phát</t>
  </si>
  <si>
    <t>Cty cám Sunjin</t>
  </si>
  <si>
    <t>Cty cám Marphavet</t>
  </si>
  <si>
    <t>Cty cám Farmvina</t>
  </si>
  <si>
    <t>Họ đến trại</t>
  </si>
  <si>
    <t>Tôi phân phối gà đến họ</t>
  </si>
  <si>
    <t>Có bồn/chậu sát trùng</t>
  </si>
  <si>
    <t>Dùng bình xịt sát trùng cầm tay  </t>
  </si>
  <si>
    <t>Chi phí cao</t>
  </si>
  <si>
    <t>Chất lượng thuốc thấp</t>
  </si>
  <si>
    <t>Thuốc không hoạt động tốt</t>
  </si>
  <si>
    <t>Không biết nên sử dụng loại thuốc nào</t>
  </si>
  <si>
    <t>Có thể làm ảnh hưởng chất lượng thịt gà</t>
  </si>
  <si>
    <t>Có thể gây nguy hiểm cho sức khỏe của tôi</t>
  </si>
  <si>
    <t>Có thể dẫn đến kháng thuốc/AMR</t>
  </si>
  <si>
    <t>Cán bộ thú y</t>
  </si>
  <si>
    <t>Tổ chức phi chính phủ/từ thiện</t>
  </si>
  <si>
    <t>Hợp tác xã nông dân</t>
  </si>
  <si>
    <t>Đài phát thanh/báo/Tivi</t>
  </si>
  <si>
    <t>Mạng xã hội</t>
  </si>
  <si>
    <t>Nông dân/bạn bè/người thân khác</t>
  </si>
  <si>
    <t>Chỉ nuôi thả tự do ngoài trời</t>
  </si>
  <si>
    <t>Nhốt hoàn toàn trong nhà</t>
  </si>
  <si>
    <t>Kết hợp trong nhà + thả tự do ngoài trời </t>
  </si>
  <si>
    <t>Nước mua từ người khác</t>
  </si>
  <si>
    <t>Hệ thống nước sạch của nhà nước</t>
  </si>
  <si>
    <t>Nước ao</t>
  </si>
  <si>
    <t>Giếng khoan/giếng</t>
  </si>
  <si>
    <t>Nước mưa đựng trong bể chứa</t>
  </si>
  <si>
    <t>Nước sông/suối/kênh</t>
  </si>
  <si>
    <t>Nước từ đầm lầy</t>
  </si>
  <si>
    <t>Clo</t>
  </si>
  <si>
    <t>Phèn chua</t>
  </si>
  <si>
    <t>Chưa bao giờ</t>
  </si>
  <si>
    <t>Hàng tuần</t>
  </si>
  <si>
    <t>Hàng tháng</t>
  </si>
  <si>
    <t>Hàng quý</t>
  </si>
  <si>
    <t>Nửa năm một lần</t>
  </si>
  <si>
    <t>Loại bỏ chất thải có thể nhìn thấy</t>
  </si>
  <si>
    <t>Khử trùng bằng các chất hóa học</t>
  </si>
  <si>
    <t xml:space="preserve">Rửa sạch máng ăn/máng uống </t>
  </si>
  <si>
    <t>Sát trùng máng ăn/máng uống bằng chất hóa học</t>
  </si>
  <si>
    <t xml:space="preserve">Luôn luôn </t>
  </si>
  <si>
    <t>Thỉnh thoảng</t>
  </si>
  <si>
    <t>Quét dọn</t>
  </si>
  <si>
    <t>Rửa dọn bằng nước và xà phòng</t>
  </si>
  <si>
    <t>Sát trùng bằng các chất hóa học</t>
  </si>
  <si>
    <t>Không dùng biện pháp nào</t>
  </si>
  <si>
    <t>Không áp dụng biện pháp nào</t>
  </si>
  <si>
    <t>Yêu cầu công nhân rửa tay</t>
  </si>
  <si>
    <t>Yêu cầu công nhân sát trùng tay</t>
  </si>
  <si>
    <t>Yêu cầu công nhân mặc quần áo bảo hộ chuyên dụng của trại</t>
  </si>
  <si>
    <t>Toàn bộ</t>
  </si>
  <si>
    <t>Ủng chân</t>
  </si>
  <si>
    <t>Quần bảo hộ</t>
  </si>
  <si>
    <t>Áo báo hô</t>
  </si>
  <si>
    <t>Giày kín (không phải ủng)</t>
  </si>
  <si>
    <t>Giày hở (kiểu dép xăng-đan)</t>
  </si>
  <si>
    <t>Phải thông báo cho người quản lý trang trại về sự hiện diện của họ</t>
  </si>
  <si>
    <t xml:space="preserve">Phải mặc quần áo bảo hộ chuyên dụng của trại </t>
  </si>
  <si>
    <t xml:space="preserve">Phải rửa và sát trùng tay </t>
  </si>
  <si>
    <t>Ông/bà đã từng nhìn thấy chim hoang dã vào khu chuồng nuôi gà của ông/bà không?</t>
  </si>
  <si>
    <t>Hơn 1km</t>
  </si>
  <si>
    <t>Dưới 500m</t>
  </si>
  <si>
    <t>Từ 500m-1km</t>
  </si>
  <si>
    <t>Mèo</t>
  </si>
  <si>
    <t>Chó</t>
  </si>
  <si>
    <t>Không vật nuôi nào</t>
  </si>
  <si>
    <t>Thường xuyên</t>
  </si>
  <si>
    <t>Không bao giờ</t>
  </si>
  <si>
    <t>Sau mỗi lần sử dụng</t>
  </si>
  <si>
    <t>Đàn gà khỏe mạnh và do đó không cần thiết</t>
  </si>
  <si>
    <t>Vì quá đắt</t>
  </si>
  <si>
    <t>Sử dụng kháng sinh dẫn đến sản lượng thấp</t>
  </si>
  <si>
    <t xml:space="preserve">Người mua muốn gia cầm không có kháng sinh </t>
  </si>
  <si>
    <t>Sử dụng kháng sinh ở gia cầm rất nguy hiểm cho sức khỏe của tôi</t>
  </si>
  <si>
    <t>Sử dụng kháng sinh rất nguy hiểm cho sức khỏe người tiêu dùng</t>
  </si>
  <si>
    <t>Không cất giữ (sử dụng trong ngày)</t>
  </si>
  <si>
    <t>Trong thùng kín đặt trong khu chuồng nuôi</t>
  </si>
  <si>
    <t>Trong thùng kín đặt ngoài khu chuồng nuôi</t>
  </si>
  <si>
    <t>Để trên giá hở trong khu chuồng nuôi</t>
  </si>
  <si>
    <t xml:space="preserve">Để trên giá hở bên ngoài khu chuồng nuôi </t>
  </si>
  <si>
    <t>Tháng mười hai</t>
  </si>
  <si>
    <t>Tháng một</t>
  </si>
  <si>
    <t>Tháng hai</t>
  </si>
  <si>
    <t>Tháng ba</t>
  </si>
  <si>
    <t>Tháng tư</t>
  </si>
  <si>
    <t>Tháng năm</t>
  </si>
  <si>
    <t>Tháng sáu</t>
  </si>
  <si>
    <t>Tháng bảy</t>
  </si>
  <si>
    <t>Tháng tám</t>
  </si>
  <si>
    <t>Tháng chín</t>
  </si>
  <si>
    <t>Tháng mười</t>
  </si>
  <si>
    <t>Tháng mười một</t>
  </si>
  <si>
    <t>Sự dụng lượng như nhau ở các tháng</t>
  </si>
  <si>
    <t>Tôi không sử dụng kháng sinh</t>
  </si>
  <si>
    <t>Viết trên giấy/sổ</t>
  </si>
  <si>
    <t>Điện tử</t>
  </si>
  <si>
    <t>Giữ cho lần sử dụng sau</t>
  </si>
  <si>
    <t>Cho hàng xóm</t>
  </si>
  <si>
    <t>Đốt</t>
  </si>
  <si>
    <t>Chôn</t>
  </si>
  <si>
    <t>Ném vào nhà vệ sinh</t>
  </si>
  <si>
    <t>Ném vào thùng/hố rác</t>
  </si>
  <si>
    <t>Sử dụng hết tất cả các kháng sinh đã mua</t>
  </si>
  <si>
    <t>Gà lấy trứng</t>
  </si>
  <si>
    <t>Gà giống (bố mẹ)</t>
  </si>
  <si>
    <t>Gà lai</t>
  </si>
  <si>
    <t>Gà ta/bản địa</t>
  </si>
  <si>
    <t>Gà tây</t>
  </si>
  <si>
    <t>Vịt</t>
  </si>
  <si>
    <t>Ngan</t>
  </si>
  <si>
    <t>muscoviduck</t>
  </si>
  <si>
    <t>Ngỗng</t>
  </si>
  <si>
    <t>Gà sao</t>
  </si>
  <si>
    <t>Bồ câu</t>
  </si>
  <si>
    <t>Chim cút</t>
  </si>
  <si>
    <t>Không có loài gia cầm nào khác</t>
  </si>
  <si>
    <t>Trâu, bò</t>
  </si>
  <si>
    <t>Dê</t>
  </si>
  <si>
    <t>Cừu</t>
  </si>
  <si>
    <t>Lợn</t>
  </si>
  <si>
    <t>Không có loài gia súc nào khác</t>
  </si>
  <si>
    <t xml:space="preserve">Mua </t>
  </si>
  <si>
    <t>Được cho/tặng</t>
  </si>
  <si>
    <t>Tự ấp (tại trang trại)</t>
  </si>
  <si>
    <t>Nhập</t>
  </si>
  <si>
    <t>Hàng xóm</t>
  </si>
  <si>
    <t>Lò/công ty ấp lớn</t>
  </si>
  <si>
    <t>Trực tiếp từ lò ấp ở địa phương</t>
  </si>
  <si>
    <t>Thái Lan</t>
  </si>
  <si>
    <t>Trung Quốc</t>
  </si>
  <si>
    <t>Ai Cập</t>
  </si>
  <si>
    <t>Ấn Độ</t>
  </si>
  <si>
    <t>Lào</t>
  </si>
  <si>
    <t>Hòa Phát</t>
  </si>
  <si>
    <t>Công ty Sao Việt</t>
  </si>
  <si>
    <t>Greenfarm</t>
  </si>
  <si>
    <t>Japfa</t>
  </si>
  <si>
    <t>Cty Farmvina</t>
  </si>
  <si>
    <t>Thức ăn tự làm/tự trộn (công thức riêng)</t>
  </si>
  <si>
    <t>Thức ăn công nghiệp</t>
  </si>
  <si>
    <t>Thức ăn thừa từ hộ gia đình</t>
  </si>
  <si>
    <t>Thức ăn do cửa hàng vật tư/ của hàng thức ăn phối trộn</t>
  </si>
  <si>
    <t>Giá rẻ</t>
  </si>
  <si>
    <t>Tôi thấy gà của mình phát triển tốt khi dùng loại đó</t>
  </si>
  <si>
    <t>Nghe từ các trại khác dùng cho gà thì phát triển tốt</t>
  </si>
  <si>
    <t>Chất lượng có vẻ tốt</t>
  </si>
  <si>
    <t>Dễ mua</t>
  </si>
  <si>
    <t>Được khuyên dùng bởi người cung cấp dịch vụ/cán bộ chăn nuôi  </t>
  </si>
  <si>
    <t>Không trộn gì</t>
  </si>
  <si>
    <t xml:space="preserve">Kháng sinh </t>
  </si>
  <si>
    <t>Các chất khoáng bổ sung</t>
  </si>
  <si>
    <t xml:space="preserve">Trong khu chuồng nuôi </t>
  </si>
  <si>
    <t xml:space="preserve">Có kho riêng cho bảo quản thức ăn </t>
  </si>
  <si>
    <t>Sử dụng hết thức ăn mà không bảo quản</t>
  </si>
  <si>
    <t>Được kê cao</t>
  </si>
  <si>
    <t>Để dưới/ở sàn</t>
  </si>
  <si>
    <t>Người phân phối/bán nói cho tôi</t>
  </si>
  <si>
    <t xml:space="preserve">Nhận được ghi chép/chứng nhận gà đã tiêm vắc-xin </t>
  </si>
  <si>
    <t>Nơi ấp trứng thường tiêm/nhỏ vắc-xin</t>
  </si>
  <si>
    <t>Công nhân của trại</t>
  </si>
  <si>
    <t>Tại trại giống</t>
  </si>
  <si>
    <t>Người cung cấp dịch vụ chăn nuôi</t>
  </si>
  <si>
    <t>Cửa hàng vật tư nông nghiệp</t>
  </si>
  <si>
    <t>Bạn/hàng xóm/người nhà</t>
  </si>
  <si>
    <t>Tiêm</t>
  </si>
  <si>
    <t>Hòa vào nước</t>
  </si>
  <si>
    <t>Nhỏ mắt/mũi</t>
  </si>
  <si>
    <t>Dạng hỗn hợp với KS khác</t>
  </si>
  <si>
    <t>Dạng đơn</t>
  </si>
  <si>
    <t xml:space="preserve">Ông/bà thấy mục đích chính của việc sử dụng kháng sinh trong chăn nuôi gà là gì? </t>
  </si>
  <si>
    <t>Ai là người đưa ra quyết định về &lt;span style='color:blue;'&gt;thời điểm khi nào thì bán gà&lt;/span&gt;</t>
  </si>
  <si>
    <t>Ai là người đưa ra quyết định về &lt;span style='color:blue;'&gt;việc sử dụng tiền bán gà như thế nào?&lt;/span&gt;</t>
  </si>
  <si>
    <t>Ai là người có mặt và theo dõi chung việc vận hành hang ngày của trang trại?</t>
  </si>
  <si>
    <t>Phỏng vấn quản lý của trại</t>
  </si>
  <si>
    <t>Người quản lý trại – Nhân khẩu</t>
  </si>
  <si>
    <t>Giới tính của người quản lý</t>
  </si>
  <si>
    <t>Năm sinh của người quản lý</t>
  </si>
  <si>
    <t>Ông/bà đã làm công việc quản lý/chăn nuôi gà thịt được bao nhiêu năm ?</t>
  </si>
  <si>
    <t>Người quản lý ra quyết định</t>
  </si>
  <si>
    <t>Ông/bà có tham gia vào việc đưa ra quyết định về &lt;span style='color:blue;'&gt;thời điểm khi nào thì bán gà&lt;/span&gt;?</t>
  </si>
  <si>
    <t>Cụ thể về phần tập huấn</t>
  </si>
  <si>
    <t>Tên thương mại</t>
  </si>
  <si>
    <t>Chi tiết các lần dùng Vitamin</t>
  </si>
  <si>
    <t>Cám công nghiệp cho giai đoạn gà giò</t>
  </si>
  <si>
    <t>Ở lứa gà gần đây nhất, Ông/bà dùng cám công nghiệp cho &lt;span style='color:blue;'&gt;GIAI ĐOẠN GÀ GIÒ/GIAI ĐOẠN CUỐI&lt;/span&gt; là của công ty nào?</t>
  </si>
  <si>
    <t>Các câu hỏi chi tiết về hãng cám</t>
  </si>
  <si>
    <t>đơn vị: nghìn VND</t>
  </si>
  <si>
    <t>Thức ăn tự trộn</t>
  </si>
  <si>
    <t>Các loại thuốc kháng sinh</t>
  </si>
  <si>
    <t>Bây giờ tôi sẽ hỏi ông/bà một số câu hỏi liên quan đến đàn gà ở &lt;span style='color:blue;'&gt;CHU KỲ NUÔI HIỆN TẠI&lt;/span&gt; của ông/bà</t>
  </si>
  <si>
    <t>tính theo tuần tuổi</t>
  </si>
  <si>
    <t>Minh Tân</t>
  </si>
  <si>
    <t>Giúp phòng bệnh</t>
  </si>
  <si>
    <t>Giúp gà phát triển tốt</t>
  </si>
  <si>
    <t>Kinh nghiệm từ các lần nuôi trước là tốt</t>
  </si>
  <si>
    <t>Chỉ biết cần làm như thế</t>
  </si>
  <si>
    <t>Hướng dẫn của người bán gà giống</t>
  </si>
  <si>
    <t>Hướng dẫn của cán bộ thú y/chăn nuôi</t>
  </si>
  <si>
    <t>Hướng dẫn của người chăn nuôi khác</t>
  </si>
  <si>
    <t>Hướng dẫn trên TV/đài/ tờ rơi</t>
  </si>
  <si>
    <t>Xin tư vấn của cán bộ dịch vụ thú y</t>
  </si>
  <si>
    <t>Dùng các loại thuốc để từ cửa hang thuốc/cửa hàng vật tư thú y</t>
  </si>
  <si>
    <t xml:space="preserve">Bổ sung vitamin cho đàn </t>
  </si>
  <si>
    <t>Không làm gì cả</t>
  </si>
  <si>
    <t>Sử dụng các loại thuốc thảo dược</t>
  </si>
  <si>
    <t>Nhốt tách riêng các gà ốm với các gà khỏe mạnh</t>
  </si>
  <si>
    <t>Đổi thuốc</t>
  </si>
  <si>
    <t>Thịt gà để ăn</t>
  </si>
  <si>
    <t>Bán gà</t>
  </si>
  <si>
    <t>Vứt bỏ gà bằng cách đốt hoặc chôn</t>
  </si>
  <si>
    <t>Vứt bỏ gà bằng cách làm thức ăn cho chó/động vật nuôi khác</t>
  </si>
  <si>
    <t>Không làm gì</t>
  </si>
  <si>
    <t>Chôn gà chết</t>
  </si>
  <si>
    <t>Vứt bỏ thùng rác</t>
  </si>
  <si>
    <t>Đốt gà chết</t>
  </si>
  <si>
    <t>Dùng làm thức ăn cho gia súc trong trại (ví dụ chó)</t>
  </si>
  <si>
    <t>Cả hai loại trên</t>
  </si>
  <si>
    <t>Không dùng gì</t>
  </si>
  <si>
    <t>Kích thích tăng trưởng (vỗ béo)</t>
  </si>
  <si>
    <t>Phòng bệnh cho gà</t>
  </si>
  <si>
    <t xml:space="preserve">Điều trị cho những gà bị bệnh, hay gà có biểu hiện ốm hay chết </t>
  </si>
  <si>
    <t>Bộ câu hỏi phỏng vấn-Hộ chăn nuôi gà_VN Poultry Baseline Questionnaire - v8.0</t>
  </si>
  <si>
    <t>poultry_baseline_v8_0</t>
  </si>
  <si>
    <t>Hiểu biết, kinh nghiệm trước đây của tôi</t>
  </si>
  <si>
    <t>Theo lời khuyên của cán bộ thú y</t>
  </si>
  <si>
    <t>Theo lời khuyên của hàng xóm</t>
  </si>
  <si>
    <t>Quảng cáo</t>
  </si>
  <si>
    <t>Theo lời khuyên của người bán thuốc/ cửa hàng vật tư nông nghiệp</t>
  </si>
  <si>
    <t>Theo khuyến nghị trên hộp/nhãn thuốc</t>
  </si>
  <si>
    <t>Nhân viên công ty thuốc</t>
  </si>
  <si>
    <t>Trung tâm dịch vụ của nhà nước</t>
  </si>
  <si>
    <t>Người cung cấp dịch vụ chăn nuôi tư nhân</t>
  </si>
  <si>
    <t>Bạn bè hoặc hàng xóm</t>
  </si>
  <si>
    <t>Trộn với thức ăn</t>
  </si>
  <si>
    <t>Hòa vào nước uống</t>
  </si>
  <si>
    <t>Tôi</t>
  </si>
  <si>
    <t>Công nhân trong trại</t>
  </si>
  <si>
    <t>Người ở cửa hàng vật tư nông nghiệp</t>
  </si>
  <si>
    <t>Quản lý trại</t>
  </si>
  <si>
    <t>Nhân viên khác của trại</t>
  </si>
  <si>
    <t>Cho những gà 1 ngày tuổi</t>
  </si>
  <si>
    <t>Sau khi tiêm vắc xin</t>
  </si>
  <si>
    <t>Để điều trị gà ốm</t>
  </si>
  <si>
    <t xml:space="preserve">Để phòng bệnh cho gà </t>
  </si>
  <si>
    <t>Vì các động vật khác đang ốm (điều trị đại trà)</t>
  </si>
  <si>
    <t>Siêu thị/công ty</t>
  </si>
  <si>
    <t>Thương lái</t>
  </si>
  <si>
    <t>Người bán hàng tại chợ</t>
  </si>
  <si>
    <t>Bán trực tiếp tại chợ</t>
  </si>
  <si>
    <t>Nhà hàng</t>
  </si>
  <si>
    <t>Bán tại cổng trại</t>
  </si>
  <si>
    <t>Gà còn sống</t>
  </si>
  <si>
    <t>Gà đã giết mổ tại trại</t>
  </si>
  <si>
    <t xml:space="preserve">Tổng tiền bán được  </t>
  </si>
  <si>
    <t>Giá bán/con</t>
  </si>
  <si>
    <t>Tôi không biết</t>
  </si>
  <si>
    <t>Viêm phế quản/Infectious Bronchitis</t>
  </si>
  <si>
    <t>Gumboro/Infectious Bursal Disease</t>
  </si>
  <si>
    <t>Viêm não tủy/Encephalomyelitis</t>
  </si>
  <si>
    <t>Đậu gà/Fowl Pox</t>
  </si>
  <si>
    <t>Viêm thanh quản/Laryngotracheitis</t>
  </si>
  <si>
    <t>Hen gà/Mycoplasma gallisepticum</t>
  </si>
  <si>
    <t>Tu huyết trùng/Fowl cholera</t>
  </si>
  <si>
    <t>Sưng phù đầu gà/Infectious Coryza</t>
  </si>
  <si>
    <t>Niu-cát-xơn/Newcastle Disease</t>
  </si>
  <si>
    <t>Bán một số lần và có thể cung cấp các thông tin chi tiết cho mỗi lần</t>
  </si>
  <si>
    <t>Bán một số lần với số lượng ít, và không nhớ thông tin chi tiết mỗi lần bán</t>
  </si>
  <si>
    <t>Bảo quản thức ăn</t>
  </si>
  <si>
    <t>Ông/bà bảo quản thức ăn cho gà ở đâu?</t>
  </si>
  <si>
    <t xml:space="preserve">Ông/bà bảo quản thức ăn cho gà như thế nào? </t>
  </si>
  <si>
    <t xml:space="preserve">Phòng (khu vực) bảo quản thức ăn có ngăn cách hoàn toàn với nước, gia cầm và sâu bọ không? </t>
  </si>
  <si>
    <t>Sử dụng các vắc xin</t>
  </si>
  <si>
    <t>Khi bắt đầu nhận gà giống, ông/bà có biết thông tin về đàn đã được tiêm vắc-xin hay chưa?</t>
  </si>
  <si>
    <t xml:space="preserve">Làm cách nào ông/bà biết được đàn gà đã được tiêm vắc-xin? </t>
  </si>
  <si>
    <t>Và ông/bà có biết loại vắc-xin nào đã được tiêm/nhỏ không?</t>
  </si>
  <si>
    <t>Ông/bà có tiêm vắc-xin cho đàn gà lứa nuôi gần đây nhất không?</t>
  </si>
  <si>
    <t xml:space="preserve">Loại vắc-xin nào ông/bà đã dùng (tiêm/nhỏ..)? </t>
  </si>
  <si>
    <t>Chi tiết các loại vắc-xin</t>
  </si>
  <si>
    <t>Vắc-xin</t>
  </si>
  <si>
    <t xml:space="preserve">Ông/bà có sổ ghi chép/lưu thông tin vắc-xin tiêm không? </t>
  </si>
  <si>
    <t xml:space="preserve">Nếu có, Xin chụp lại ảnh danh sách/ sổ ghi chép tiêm vắc-xin </t>
  </si>
  <si>
    <t xml:space="preserve">Ông/bà có sử dụng kháng sinh/thuốc hay các chất bổ trợ cho gà sau khi tiêm vắc-xin không? </t>
  </si>
  <si>
    <t>Nếu có, ông/bà sử dụng/bổ sung gì cho gà?</t>
  </si>
  <si>
    <t xml:space="preserve">Ông/bà đã sử dụng loại chất/thuốc bổ sung nào? </t>
  </si>
  <si>
    <t>Thuốc</t>
  </si>
  <si>
    <t>Thông tin chi tiết loại thuốc</t>
  </si>
  <si>
    <t>Bây giờ, tôi sẽ xin hỏi ông/bà một số câu hỏi về  &lt;span style='color:blue;'&gt;TÌNH HÌNH SỨC KHỎE CỦA ĐÀN GÀ &lt;/span&gt; in the &lt;span style='color:blue;'&gt;CỦA LỨA GẦN ĐÂY NHẤT &lt;/span&gt;</t>
  </si>
  <si>
    <t>Ở lứa gà nuôi gần đây nhất, ông/bà có thấy gà trong đàn của mình bị ốm/bệnh, hoặc có thể có 1 số con chết không?</t>
  </si>
  <si>
    <t>Ông/bà có sử dụng các loại thuốc trong bất cứ các lần gà ốm nào ở trên không?</t>
  </si>
  <si>
    <t>Ông/bà sử dụng loại thuốc nào cho gà?</t>
  </si>
  <si>
    <t>Ông/bà đã dùng [Tên loại kháng sinh]nào?</t>
  </si>
  <si>
    <t>Kháng sinh</t>
  </si>
  <si>
    <t>Ông/bà có bổ sung loại vitamin nào không?</t>
  </si>
  <si>
    <t>Chi tiết các loại vitamin</t>
  </si>
  <si>
    <t>Ở lứa nuôi gần đây, có bao nhiêu lần gà bị ốm?</t>
  </si>
  <si>
    <t>Tình hình ốm, bệnh của đàn gà</t>
  </si>
  <si>
    <t>TÌNH HÌNH SỨC KHỎE (ĐÀN GẦN ĐÂY)</t>
  </si>
  <si>
    <t>Các bệnh/tỷ lệ chết (lứa gà gần đây)  ../(tiếp tục)</t>
  </si>
  <si>
    <t>Ông bà sẽ làm gì nếu tình trạng của đàn gà không cải thiện sau khi dùng thuốc điều trị?</t>
  </si>
  <si>
    <t>Ông/bà có ghi lại những tổn thất/gà chết phát sinh trong trại không?</t>
  </si>
  <si>
    <t>Ông/bà sẽ làm gì nếu có gà chết sau 1 vài ngày điều trị?</t>
  </si>
  <si>
    <t>Tiếp theo là các câu hỏi về việc ông/bà  &lt;span style='color:blue;'&gt;bán lứa gà  gần đây nhất &lt;/span&gt; của đàn gà thịt</t>
  </si>
  <si>
    <t>Giá của một con gà khi ông/bà đem cho/tặng là khoảng bao nhiêu tiền? (tính giá nếu ông/bà có thể bán chúng)?</t>
  </si>
  <si>
    <t>Ở lứa nuôi đó, Ông/bà đã đem cho/tặng bao nhiêu con gà?</t>
  </si>
  <si>
    <t>Ông/bà đã mổ để ăn/tự tiêu thụ bao nhiêu con gà trong lứa vừa rồi ?</t>
  </si>
  <si>
    <t>Giá của một con gà khi ông/mổ ăn là khoảng bao nhiêu? (tính giá nếu ông/bà có thể bán chúng)?</t>
  </si>
  <si>
    <t>Ông/bà đã bán đàn gà theo cách nào?</t>
  </si>
  <si>
    <t>Các thông tin bán gà chi tiết</t>
  </si>
  <si>
    <t>Ông/bà ghi chép lại bẳng hình thức nào?</t>
  </si>
  <si>
    <t>Cho tặng/Mổ thịt để ăn- Give Aways/Consumed</t>
  </si>
  <si>
    <t>Ông/bà đã thực hiện bao nhiêu lần bán đối với đàn/lứa gà gần đây nhất?</t>
  </si>
  <si>
    <t>Thông tin chung về xuất bán</t>
  </si>
  <si>
    <t>Tổng số lượng gà ông/bà đã bán trong đợt đó là bao nhiêu con?</t>
  </si>
  <si>
    <t>Tính trung bình, ông/bà thường bán gà ở lứa tuổi nào? (Lưu ý tính bằng tuần)?</t>
  </si>
  <si>
    <t>Tính trung bình, ông/bà bán bao nhiêu tiền một con? (Lưu ý: nghìn VNĐ/con)</t>
  </si>
  <si>
    <t>Trung bình, mỗi con gà khi bán nặng khoảng bao nhiêu kilogram?</t>
  </si>
  <si>
    <t>Ông/bà thường bán cho ai?</t>
  </si>
  <si>
    <t>Ông/bà thường bàn cho ai/qua kênh nào &lt;span style='color:blue;'&gt; NHẤT &lt;/span&gt; ?</t>
  </si>
  <si>
    <t>Người mua gà có đến trại của ông/bà để bắt gà không?</t>
  </si>
  <si>
    <t xml:space="preserve">Gà được bán đi ở hình thức nào? </t>
  </si>
  <si>
    <t>Ông/bà có dùng phương tiện vận chuyển của minh để chuyển gà đi không? (gà còn sống hoặc đã giết mổ)?</t>
  </si>
  <si>
    <t>Phương tiện vận chuyển (bao gồm cả thùng xe) có được làm sạch và khử trùng trước khi đến trại không?</t>
  </si>
  <si>
    <t>Tổng chi phí vận chuyển là khoảng bao nhiêu tiền (nghìn VNĐ)?</t>
  </si>
  <si>
    <t>Người phỏng vấn viên có góp ý nào khác cho hộ chăn nuôi phỏng vấn này không?</t>
  </si>
  <si>
    <t>Ông/bà đã vận chuyển khoảng bao nhiêu lần đến cho người mua gà?</t>
  </si>
  <si>
    <t>Ở lứa gà nuôi gần đây nhất, bên cạnh các lần nuôi Chúng ta đã vừa đề cập đến; ông/bà có sử dụng bất cứ loại chất/thuốc nào cho đàn gà của minh khi chúng vẫn khỏe mạnh để nhằm phòng chống bệnh?</t>
  </si>
  <si>
    <t>Ông/bà bổ sung loại kháng sinh nào?</t>
  </si>
  <si>
    <t>Các loại thuốc</t>
  </si>
  <si>
    <t>Thông tin thuốc</t>
  </si>
  <si>
    <t>Thông tin chi tiết về vitamin</t>
  </si>
  <si>
    <t>Thông tin chi tiết chất/thuốc bổ sung</t>
  </si>
  <si>
    <t>Ông/bà dùng cám công nghiệp cho đàn gà giai đoạn đầu &lt;span style='color:blue;'&gt;Cám công nghiệp cho gà úm&lt;/span&gt; ở lứa gà gần đây nhất, là của công ty nào?</t>
  </si>
  <si>
    <t xml:space="preserve">Sau đây là các câu hỏi về &lt;span style='color:blue;'&gt;health and medicine/vitamin&lt;/span&gt; ông/bà sử dụng &lt;span style='color:blue;'&gt;LỨA GÀ NUÔI GẦN ĐÂY NHẤT&lt;/span&gt; </t>
  </si>
  <si>
    <t>Sử dụng 999 cho toàn bộ lứa nuôi</t>
  </si>
  <si>
    <t>tính theo tuấn</t>
  </si>
  <si>
    <t>Về những lần mà gà của ông/bà bị ốm hoặc chết do bệnh</t>
  </si>
  <si>
    <t>Không đọc các đáp án, và lựa chọn tất cả các đáp án mà người trả lời đề cập</t>
  </si>
  <si>
    <t>Lưu ý nhớ là các câu hỏi trong mục này vẫn là về LỨA GÀ ĐÃ BÁN GẦN ĐÂY NHẤT.</t>
  </si>
  <si>
    <t>Nếu nhiều cỡ bao cám khác nhau, thì lấy cỡ số trung bình</t>
  </si>
  <si>
    <t>Không đọc các đáp án</t>
  </si>
  <si>
    <t>Jubilee</t>
  </si>
  <si>
    <t>Yammie</t>
  </si>
  <si>
    <t>Mavuno</t>
  </si>
  <si>
    <t>Masters</t>
  </si>
  <si>
    <t>Sidai</t>
  </si>
  <si>
    <t>chinese_indigenous</t>
  </si>
  <si>
    <t>Không có</t>
  </si>
  <si>
    <t>college_university</t>
  </si>
  <si>
    <t>high_school</t>
  </si>
  <si>
    <t>junior_highschool</t>
  </si>
  <si>
    <t>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</si>
</sst>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0"/>
      <name val="Arial"/>
      <family val="2"/>
    </font>
    <font>
      <sz val="9"/>
      <color indexed="8"/>
      <name val="Calibri"/>
      <family val="2"/>
    </font>
    <font>
      <sz val="8"/>
      <name val="Calibri"/>
      <family val="2"/>
    </font>
    <font>
      <sz val="8"/>
      <name val="Calibri"/>
      <family val="2"/>
    </font>
    <font>
      <b/>
      <sz val="9"/>
      <name val="Calibri"/>
      <family val="2"/>
      <scheme val="minor"/>
    </font>
    <font>
      <sz val="9"/>
      <color theme="1"/>
      <name val="Calibri"/>
      <family val="2"/>
      <scheme val="minor"/>
    </font>
    <font>
      <sz val="9"/>
      <name val="Calibri"/>
      <family val="2"/>
      <scheme val="minor"/>
    </font>
    <font>
      <sz val="9"/>
      <color rgb="FF000000"/>
      <name val="Calibri"/>
      <family val="2"/>
      <scheme val="minor"/>
    </font>
    <font>
      <sz val="9"/>
      <color theme="1"/>
      <name val="Calibri"/>
      <family val="2"/>
    </font>
    <font>
      <b/>
      <sz val="9"/>
      <color theme="1"/>
      <name val="Calibri"/>
      <family val="2"/>
      <scheme val="minor"/>
    </font>
    <font>
      <sz val="11"/>
      <color theme="1"/>
      <name val="Calibri"/>
      <family val="2"/>
    </font>
    <font>
      <sz val="9"/>
      <color indexed="8"/>
      <name val="Calibri"/>
      <family val="2"/>
      <scheme val="minor"/>
    </font>
    <font>
      <b/>
      <sz val="9"/>
      <color rgb="FFFF0000"/>
      <name val="Calibri"/>
      <family val="2"/>
      <scheme val="minor"/>
    </font>
    <font>
      <sz val="10"/>
      <color rgb="FF000000"/>
      <name val="Calibri"/>
      <family val="2"/>
      <scheme val="minor"/>
    </font>
    <font>
      <sz val="10"/>
      <color theme="1"/>
      <name val="Calibri"/>
      <family val="2"/>
      <scheme val="minor"/>
    </font>
    <font>
      <sz val="8"/>
      <color theme="1"/>
      <name val="Calibri"/>
      <family val="2"/>
      <scheme val="minor"/>
    </font>
    <font>
      <sz val="9"/>
      <color rgb="FFFF0000"/>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1" fillId="0" borderId="0" xfId="0" applyFont="1"/>
    <xf numFmtId="0" fontId="0" fillId="0" borderId="0" xfId="0" applyAlignment="1">
      <alignment vertical="center"/>
    </xf>
    <xf numFmtId="0" fontId="5" fillId="0" borderId="0" xfId="0" applyFont="1"/>
    <xf numFmtId="0" fontId="6" fillId="0" borderId="0" xfId="0" applyFont="1"/>
    <xf numFmtId="0" fontId="7" fillId="2" borderId="0" xfId="0" applyFont="1" applyFill="1"/>
    <xf numFmtId="0" fontId="7" fillId="0" borderId="0" xfId="0" applyFont="1"/>
    <xf numFmtId="0" fontId="8" fillId="0" borderId="0" xfId="0" applyFont="1"/>
    <xf numFmtId="0" fontId="6" fillId="3"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0" fontId="5" fillId="5" borderId="0" xfId="0" applyFont="1" applyFill="1"/>
    <xf numFmtId="0" fontId="6" fillId="7" borderId="0" xfId="0" applyFont="1" applyFill="1"/>
    <xf numFmtId="0" fontId="7" fillId="7" borderId="0" xfId="0" applyFont="1" applyFill="1"/>
    <xf numFmtId="0" fontId="6" fillId="8" borderId="0" xfId="0" applyFont="1" applyFill="1"/>
    <xf numFmtId="0" fontId="7" fillId="8" borderId="0" xfId="0" applyFont="1" applyFill="1"/>
    <xf numFmtId="0" fontId="2" fillId="9" borderId="0" xfId="0" applyFont="1" applyFill="1"/>
    <xf numFmtId="0" fontId="9" fillId="8" borderId="0" xfId="0" applyFont="1" applyFill="1"/>
    <xf numFmtId="0" fontId="2" fillId="8" borderId="0" xfId="0" applyFont="1" applyFill="1"/>
    <xf numFmtId="0" fontId="6" fillId="9" borderId="0" xfId="0" applyFont="1" applyFill="1"/>
    <xf numFmtId="0" fontId="7" fillId="9" borderId="0" xfId="0" applyFont="1" applyFill="1"/>
    <xf numFmtId="0" fontId="6" fillId="10" borderId="0" xfId="0" applyFont="1" applyFill="1"/>
    <xf numFmtId="0" fontId="7" fillId="10" borderId="0" xfId="0" applyFont="1" applyFill="1"/>
    <xf numFmtId="0" fontId="6" fillId="2" borderId="0" xfId="0" applyFont="1" applyFill="1"/>
    <xf numFmtId="0" fontId="6" fillId="6" borderId="0" xfId="0" applyFont="1" applyFill="1"/>
    <xf numFmtId="0" fontId="10" fillId="11" borderId="0" xfId="0" applyFont="1" applyFill="1"/>
    <xf numFmtId="0" fontId="5" fillId="11" borderId="0" xfId="0" applyFont="1" applyFill="1"/>
    <xf numFmtId="0" fontId="10" fillId="12" borderId="0" xfId="0" applyFont="1" applyFill="1"/>
    <xf numFmtId="0" fontId="5" fillId="12" borderId="0" xfId="0" applyFont="1" applyFill="1"/>
    <xf numFmtId="0" fontId="9" fillId="9" borderId="0" xfId="0" applyFont="1" applyFill="1"/>
    <xf numFmtId="0" fontId="6" fillId="12" borderId="0" xfId="0" applyFont="1" applyFill="1"/>
    <xf numFmtId="0" fontId="8" fillId="3" borderId="0" xfId="0" applyFont="1" applyFill="1"/>
    <xf numFmtId="0" fontId="9" fillId="2" borderId="0" xfId="0" applyFont="1" applyFill="1"/>
    <xf numFmtId="0" fontId="2" fillId="2" borderId="0" xfId="0" applyFont="1" applyFill="1"/>
    <xf numFmtId="0" fontId="9" fillId="6" borderId="0" xfId="0" applyFont="1" applyFill="1"/>
    <xf numFmtId="0" fontId="2" fillId="6" borderId="0" xfId="0" applyFont="1" applyFill="1"/>
    <xf numFmtId="0" fontId="6" fillId="13" borderId="0" xfId="0" applyFont="1" applyFill="1"/>
    <xf numFmtId="0" fontId="7" fillId="13" borderId="0" xfId="0" applyFont="1" applyFill="1"/>
    <xf numFmtId="0" fontId="8" fillId="13" borderId="0" xfId="0" applyFont="1" applyFill="1"/>
    <xf numFmtId="0" fontId="9" fillId="7" borderId="0" xfId="0" applyFont="1" applyFill="1"/>
    <xf numFmtId="0" fontId="2" fillId="7" borderId="0" xfId="0" applyFont="1" applyFill="1"/>
    <xf numFmtId="0" fontId="8" fillId="9" borderId="0" xfId="0" applyFont="1" applyFill="1"/>
    <xf numFmtId="0" fontId="8" fillId="10" borderId="0" xfId="0" applyFont="1" applyFill="1"/>
    <xf numFmtId="49" fontId="0" fillId="0" borderId="0" xfId="0" applyNumberFormat="1"/>
    <xf numFmtId="0" fontId="11" fillId="0" borderId="0" xfId="0" applyFont="1"/>
    <xf numFmtId="0" fontId="12" fillId="3" borderId="0" xfId="0" applyFont="1" applyFill="1"/>
    <xf numFmtId="0" fontId="8" fillId="8" borderId="0" xfId="0" applyFont="1" applyFill="1"/>
    <xf numFmtId="0" fontId="8" fillId="2" borderId="0" xfId="0" applyFont="1" applyFill="1"/>
    <xf numFmtId="0" fontId="6" fillId="14" borderId="0" xfId="0" applyFont="1" applyFill="1"/>
    <xf numFmtId="0" fontId="7" fillId="14" borderId="0" xfId="0" applyFont="1" applyFill="1"/>
    <xf numFmtId="0" fontId="6" fillId="15" borderId="1" xfId="0" applyFont="1" applyFill="1" applyBorder="1"/>
    <xf numFmtId="0" fontId="6" fillId="15" borderId="2" xfId="0" applyFont="1" applyFill="1" applyBorder="1"/>
    <xf numFmtId="0" fontId="7" fillId="15" borderId="2" xfId="0" applyFont="1" applyFill="1" applyBorder="1"/>
    <xf numFmtId="0" fontId="6" fillId="15" borderId="3" xfId="0" applyFont="1" applyFill="1" applyBorder="1"/>
    <xf numFmtId="0" fontId="6" fillId="15" borderId="4" xfId="0" applyFont="1" applyFill="1" applyBorder="1"/>
    <xf numFmtId="0" fontId="6" fillId="15" borderId="0" xfId="0" applyFont="1" applyFill="1"/>
    <xf numFmtId="0" fontId="7" fillId="15" borderId="0" xfId="0" applyFont="1" applyFill="1"/>
    <xf numFmtId="0" fontId="9" fillId="15" borderId="0" xfId="0" applyFont="1" applyFill="1"/>
    <xf numFmtId="0" fontId="6" fillId="15" borderId="5" xfId="0" applyFont="1" applyFill="1" applyBorder="1"/>
    <xf numFmtId="0" fontId="2" fillId="15" borderId="0" xfId="0" applyFont="1" applyFill="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16" borderId="1" xfId="0" applyFont="1" applyFill="1" applyBorder="1"/>
    <xf numFmtId="0" fontId="6" fillId="16" borderId="2" xfId="0" applyFont="1" applyFill="1" applyBorder="1"/>
    <xf numFmtId="0" fontId="7" fillId="16" borderId="2" xfId="0" applyFont="1" applyFill="1" applyBorder="1"/>
    <xf numFmtId="0" fontId="6" fillId="16" borderId="3" xfId="0" applyFont="1" applyFill="1" applyBorder="1"/>
    <xf numFmtId="0" fontId="6" fillId="16" borderId="4" xfId="0" applyFont="1" applyFill="1" applyBorder="1"/>
    <xf numFmtId="0" fontId="6" fillId="16" borderId="0" xfId="0" applyFont="1" applyFill="1"/>
    <xf numFmtId="0" fontId="7" fillId="16" borderId="0" xfId="0" applyFont="1" applyFill="1"/>
    <xf numFmtId="0" fontId="9" fillId="16" borderId="0" xfId="0" applyFont="1" applyFill="1"/>
    <xf numFmtId="0" fontId="6" fillId="16" borderId="5" xfId="0" applyFont="1" applyFill="1" applyBorder="1"/>
    <xf numFmtId="0" fontId="2" fillId="16" borderId="0" xfId="0" applyFont="1" applyFill="1"/>
    <xf numFmtId="0" fontId="10" fillId="7" borderId="0" xfId="0" applyFont="1" applyFill="1"/>
    <xf numFmtId="0" fontId="0" fillId="11" borderId="0" xfId="0" applyFill="1"/>
    <xf numFmtId="0" fontId="13" fillId="0" borderId="0" xfId="0" applyFont="1"/>
    <xf numFmtId="0" fontId="6" fillId="11" borderId="0" xfId="0" applyFont="1" applyFill="1"/>
    <xf numFmtId="0" fontId="15" fillId="0" borderId="0" xfId="0" applyFont="1"/>
    <xf numFmtId="0" fontId="16" fillId="0" borderId="0" xfId="0" applyFont="1" applyAlignment="1">
      <alignment vertical="center"/>
    </xf>
    <xf numFmtId="0" fontId="14" fillId="0" borderId="0" xfId="0" applyFont="1" applyAlignment="1">
      <alignment horizontal="left" vertical="center" indent="4"/>
    </xf>
    <xf numFmtId="0" fontId="17"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zoomScale="152" zoomScaleNormal="25" workbookViewId="0">
      <pane ySplit="1" topLeftCell="A24" activePane="bottomLeft" state="frozen"/>
      <selection pane="bottomLeft" activeCell="D44" sqref="D44"/>
    </sheetView>
  </sheetViews>
  <sheetFormatPr defaultColWidth="10.75" defaultRowHeight="12" x14ac:dyDescent="0.2"/>
  <cols>
    <col min="1" max="1" width="32.625" style="4" bestFit="1" customWidth="1"/>
    <col min="2" max="2" width="3.125" style="4" bestFit="1" customWidth="1"/>
    <col min="3" max="3" width="5.375" style="4" bestFit="1" customWidth="1"/>
    <col min="4" max="4" width="25.75" style="4" bestFit="1" customWidth="1"/>
    <col min="5" max="5" width="21.625" style="4" customWidth="1"/>
    <col min="6" max="6" width="65.75" style="4" customWidth="1"/>
    <col min="7" max="7" width="68.875" style="4" customWidth="1"/>
    <col min="8" max="8" width="18.25" style="4" customWidth="1"/>
    <col min="9" max="9" width="10.25" style="4" customWidth="1"/>
    <col min="10" max="10" width="10.5" style="4" customWidth="1"/>
    <col min="11" max="11" width="10.75" style="4" customWidth="1"/>
    <col min="12" max="16384" width="10.75" style="4"/>
  </cols>
  <sheetData>
    <row r="1" spans="1:19" x14ac:dyDescent="0.2">
      <c r="A1" s="3" t="s">
        <v>0</v>
      </c>
      <c r="B1" s="3"/>
      <c r="C1" s="3"/>
      <c r="D1" s="3"/>
      <c r="E1" s="3" t="s">
        <v>1</v>
      </c>
      <c r="F1" s="79" t="s">
        <v>2</v>
      </c>
      <c r="G1" s="3" t="s">
        <v>3</v>
      </c>
      <c r="H1" s="3" t="s">
        <v>4</v>
      </c>
      <c r="I1" s="3" t="s">
        <v>5</v>
      </c>
      <c r="J1" s="3" t="s">
        <v>6</v>
      </c>
      <c r="K1" s="3" t="s">
        <v>7</v>
      </c>
      <c r="L1" s="3" t="s">
        <v>8</v>
      </c>
      <c r="M1" s="3" t="s">
        <v>9</v>
      </c>
      <c r="N1" s="3" t="s">
        <v>10</v>
      </c>
      <c r="O1" s="3" t="s">
        <v>11</v>
      </c>
      <c r="P1" s="3" t="s">
        <v>12</v>
      </c>
      <c r="Q1" s="3" t="s">
        <v>13</v>
      </c>
      <c r="R1" s="3" t="s">
        <v>14</v>
      </c>
      <c r="S1" s="3" t="s">
        <v>15</v>
      </c>
    </row>
    <row r="2" spans="1:19" x14ac:dyDescent="0.2">
      <c r="A2" s="11" t="s">
        <v>16</v>
      </c>
      <c r="B2" s="11" t="s">
        <v>17</v>
      </c>
      <c r="C2" s="11" t="s">
        <v>18</v>
      </c>
      <c r="D2" s="11" t="s">
        <v>19</v>
      </c>
      <c r="E2" s="12" t="str">
        <f>CONCATENATE(B2,C2,"_",D2)</f>
        <v>s0q1_start_time</v>
      </c>
      <c r="F2" s="11" t="s">
        <v>20</v>
      </c>
      <c r="G2" s="12" t="str">
        <f>CONCATENATE(UPPER(B2),UPPER(C2),": ",F2)</f>
        <v>S0Q1: Thời gian bắt đầu phỏng vấn</v>
      </c>
      <c r="H2" s="11"/>
      <c r="I2" s="11"/>
      <c r="J2" s="11"/>
      <c r="K2" s="11"/>
      <c r="L2" s="13"/>
      <c r="M2" s="13"/>
      <c r="N2" s="13"/>
      <c r="O2" s="13"/>
      <c r="P2" s="13"/>
      <c r="Q2" s="13"/>
      <c r="R2" s="13"/>
      <c r="S2" s="12"/>
    </row>
    <row r="3" spans="1:19" x14ac:dyDescent="0.2">
      <c r="A3" s="11" t="s">
        <v>21</v>
      </c>
      <c r="B3" s="11" t="s">
        <v>17</v>
      </c>
      <c r="C3" s="11" t="s">
        <v>22</v>
      </c>
      <c r="D3" s="11" t="s">
        <v>23</v>
      </c>
      <c r="E3" s="12" t="str">
        <f>CONCATENATE(B3,C3,"_",D3)</f>
        <v>s0q2_end_time</v>
      </c>
      <c r="F3" s="11" t="s">
        <v>24</v>
      </c>
      <c r="G3" s="12" t="str">
        <f>CONCATENATE(UPPER(B3),UPPER(C3),": ",F3)</f>
        <v>S0Q2: Thời gian kết thúc phỏng vấn</v>
      </c>
      <c r="H3" s="11"/>
      <c r="I3" s="11"/>
      <c r="J3" s="11"/>
      <c r="K3" s="11"/>
      <c r="L3" s="13"/>
      <c r="M3" s="13"/>
      <c r="N3" s="13"/>
      <c r="O3" s="13"/>
      <c r="P3" s="13"/>
      <c r="Q3" s="13"/>
      <c r="R3" s="13"/>
      <c r="S3" s="12"/>
    </row>
    <row r="4" spans="1:19" x14ac:dyDescent="0.2">
      <c r="A4" s="11" t="s">
        <v>25</v>
      </c>
      <c r="B4" s="11" t="s">
        <v>17</v>
      </c>
      <c r="C4" s="11" t="s">
        <v>26</v>
      </c>
      <c r="D4" s="11" t="s">
        <v>27</v>
      </c>
      <c r="E4" s="12" t="str">
        <f>CONCATENATE(B4,C4,"_",D4)</f>
        <v>s0q3_survey_date</v>
      </c>
      <c r="F4" s="11" t="s">
        <v>28</v>
      </c>
      <c r="G4" s="12" t="str">
        <f>CONCATENATE(UPPER(B4),UPPER(C4),": ",F4)</f>
        <v>S0Q3: Ngày phỏng vấn</v>
      </c>
      <c r="H4" s="11"/>
      <c r="I4" s="11"/>
      <c r="J4" s="11"/>
      <c r="K4" s="11"/>
      <c r="L4" s="13"/>
      <c r="M4" s="13"/>
      <c r="N4" s="13"/>
      <c r="O4" s="13"/>
      <c r="P4" s="13"/>
      <c r="Q4" s="13"/>
      <c r="R4" s="13"/>
      <c r="S4" s="12"/>
    </row>
    <row r="5" spans="1:19" x14ac:dyDescent="0.2">
      <c r="A5" s="11" t="s">
        <v>29</v>
      </c>
      <c r="B5" s="11" t="s">
        <v>17</v>
      </c>
      <c r="C5" s="11" t="s">
        <v>30</v>
      </c>
      <c r="D5" s="11" t="s">
        <v>31</v>
      </c>
      <c r="E5" s="12" t="str">
        <f>CONCATENATE(B5,C5,"_",D5)</f>
        <v>s0q4_meta_devid</v>
      </c>
      <c r="F5" s="11" t="s">
        <v>32</v>
      </c>
      <c r="G5" s="12" t="str">
        <f>CONCATENATE(UPPER(B5),UPPER(C5),": ",F5)</f>
        <v>S0Q4: Mã thiết bị/tablet phỏng vấn</v>
      </c>
      <c r="H5" s="11"/>
      <c r="I5" s="11"/>
      <c r="J5" s="11"/>
      <c r="K5" s="11"/>
      <c r="L5" s="11"/>
      <c r="M5" s="11"/>
      <c r="N5" s="11"/>
      <c r="O5" s="11"/>
      <c r="P5" s="11"/>
      <c r="Q5" s="11"/>
      <c r="R5" s="11"/>
      <c r="S5" s="12"/>
    </row>
    <row r="6" spans="1:19" x14ac:dyDescent="0.2">
      <c r="A6" s="11" t="s">
        <v>33</v>
      </c>
      <c r="B6" s="11" t="s">
        <v>17</v>
      </c>
      <c r="C6" s="11" t="s">
        <v>34</v>
      </c>
      <c r="D6" s="11" t="s">
        <v>33</v>
      </c>
      <c r="E6" s="12" t="s">
        <v>33</v>
      </c>
      <c r="F6" s="11" t="s">
        <v>33</v>
      </c>
      <c r="G6" s="12"/>
      <c r="H6" s="11"/>
      <c r="I6" s="11"/>
      <c r="J6" s="11"/>
      <c r="K6" s="11"/>
      <c r="L6" s="13"/>
      <c r="M6" s="13"/>
      <c r="N6" s="13"/>
      <c r="O6" s="13"/>
      <c r="P6" s="13"/>
      <c r="Q6" s="13"/>
      <c r="R6" s="13"/>
      <c r="S6" s="12" t="s">
        <v>35</v>
      </c>
    </row>
    <row r="7" spans="1:19" x14ac:dyDescent="0.2">
      <c r="A7" s="12" t="s">
        <v>36</v>
      </c>
      <c r="B7" s="12" t="s">
        <v>17</v>
      </c>
      <c r="C7" s="12" t="s">
        <v>37</v>
      </c>
      <c r="D7" s="12" t="s">
        <v>38</v>
      </c>
      <c r="E7" s="12" t="str">
        <f>CONCATENATE(B7,C7,"_",D7)</f>
        <v>s0q6_geocodes</v>
      </c>
      <c r="F7" s="12" t="s">
        <v>39</v>
      </c>
      <c r="G7" s="12" t="str">
        <f>CONCATENATE(UPPER(B7),UPPER(C7),": ",F7)</f>
        <v xml:space="preserve">S0Q6: Lấy GPS/Định vị GPS hộ chăn nuôi </v>
      </c>
      <c r="H7" s="12"/>
      <c r="I7" s="12"/>
      <c r="J7" s="12"/>
      <c r="K7" s="12" t="s">
        <v>40</v>
      </c>
      <c r="L7" s="12"/>
      <c r="M7" s="12"/>
      <c r="N7" s="12"/>
      <c r="O7" s="12"/>
      <c r="P7" s="12"/>
      <c r="Q7" s="12"/>
      <c r="R7" s="12"/>
      <c r="S7" s="12"/>
    </row>
    <row r="8" spans="1:19" x14ac:dyDescent="0.2">
      <c r="A8" s="8" t="s">
        <v>41</v>
      </c>
      <c r="B8" s="8" t="s">
        <v>42</v>
      </c>
      <c r="C8" s="8" t="s">
        <v>43</v>
      </c>
      <c r="D8" s="8" t="s">
        <v>44</v>
      </c>
      <c r="E8" s="9" t="str">
        <f t="shared" ref="E8:E68" si="0">CONCATENATE(B8,C8,"_",D8)</f>
        <v>s1_grp_coversheet</v>
      </c>
      <c r="F8" s="8" t="s">
        <v>45</v>
      </c>
      <c r="G8" s="9" t="str">
        <f t="shared" ref="G8:G28" si="1">CONCATENATE(UPPER(B8),UPPER(C8),": ",F8)</f>
        <v>S1: Trang thông tin ban đầu</v>
      </c>
      <c r="H8" s="8"/>
      <c r="I8" s="8"/>
      <c r="J8" s="8"/>
      <c r="K8" s="8"/>
      <c r="L8" s="8"/>
      <c r="M8" s="8"/>
      <c r="N8" s="8"/>
      <c r="O8" s="8"/>
      <c r="P8" s="8"/>
      <c r="Q8" s="8"/>
      <c r="R8" s="8"/>
      <c r="S8" s="8"/>
    </row>
    <row r="9" spans="1:19" x14ac:dyDescent="0.2">
      <c r="A9" s="8" t="s">
        <v>46</v>
      </c>
      <c r="B9" s="8" t="s">
        <v>42</v>
      </c>
      <c r="C9" s="8" t="s">
        <v>47</v>
      </c>
      <c r="D9" s="8" t="s">
        <v>48</v>
      </c>
      <c r="E9" s="9" t="str">
        <f t="shared" si="0"/>
        <v>s1q7_enumerator</v>
      </c>
      <c r="F9" s="8" t="s">
        <v>49</v>
      </c>
      <c r="G9" s="9" t="str">
        <f t="shared" si="1"/>
        <v>S1Q7: Mã/ID của cán bộ phỏng vấn</v>
      </c>
      <c r="H9" s="8"/>
      <c r="I9" s="8"/>
      <c r="J9" s="8"/>
      <c r="K9" s="8" t="s">
        <v>40</v>
      </c>
      <c r="L9" s="8" t="s">
        <v>50</v>
      </c>
      <c r="M9" s="8"/>
      <c r="N9" s="8"/>
      <c r="O9" s="8"/>
      <c r="P9" s="8"/>
      <c r="Q9" s="8"/>
      <c r="R9" s="8"/>
      <c r="S9" s="8"/>
    </row>
    <row r="10" spans="1:19" x14ac:dyDescent="0.2">
      <c r="A10" s="8" t="s">
        <v>51</v>
      </c>
      <c r="B10" s="8" t="s">
        <v>42</v>
      </c>
      <c r="C10" s="8" t="s">
        <v>52</v>
      </c>
      <c r="D10" s="8" t="s">
        <v>53</v>
      </c>
      <c r="E10" s="9" t="str">
        <f t="shared" si="0"/>
        <v>s1q8_farm_id</v>
      </c>
      <c r="F10" s="10" t="s">
        <v>54</v>
      </c>
      <c r="G10" s="9" t="str">
        <f t="shared" si="1"/>
        <v>S1Q8: Mã/ID của trang trại/hộ được phỏng vấn</v>
      </c>
      <c r="H10" s="8"/>
      <c r="I10" s="8"/>
      <c r="J10" s="8"/>
      <c r="K10" s="8" t="s">
        <v>40</v>
      </c>
      <c r="L10" s="8"/>
      <c r="M10" s="8"/>
      <c r="N10" s="8"/>
      <c r="O10" s="8"/>
      <c r="P10" s="8"/>
      <c r="Q10" s="8"/>
      <c r="R10" s="8"/>
      <c r="S10" s="8"/>
    </row>
    <row r="11" spans="1:19" s="46" customFormat="1" ht="15" x14ac:dyDescent="0.25">
      <c r="A11" s="9" t="s">
        <v>55</v>
      </c>
      <c r="B11" s="8" t="s">
        <v>42</v>
      </c>
      <c r="C11" s="8" t="s">
        <v>56</v>
      </c>
      <c r="D11" s="33" t="s">
        <v>57</v>
      </c>
      <c r="E11" s="47" t="str">
        <f t="shared" si="0"/>
        <v>s1q9_county</v>
      </c>
      <c r="F11" s="33" t="s">
        <v>58</v>
      </c>
      <c r="G11" s="47" t="str">
        <f t="shared" si="1"/>
        <v>S1Q9: Lựa chọn tỉnh</v>
      </c>
      <c r="H11" s="8"/>
      <c r="I11" s="8"/>
      <c r="J11" s="8"/>
      <c r="K11" s="8" t="s">
        <v>40</v>
      </c>
      <c r="L11" s="8" t="s">
        <v>50</v>
      </c>
      <c r="M11" s="8"/>
      <c r="N11" s="8"/>
      <c r="O11" s="8"/>
      <c r="P11" s="8"/>
      <c r="Q11" s="8"/>
      <c r="R11" s="8"/>
      <c r="S11" s="33"/>
    </row>
    <row r="12" spans="1:19" s="46" customFormat="1" ht="15" x14ac:dyDescent="0.25">
      <c r="A12" s="9" t="s">
        <v>59</v>
      </c>
      <c r="B12" s="8" t="s">
        <v>42</v>
      </c>
      <c r="C12" s="8" t="s">
        <v>60</v>
      </c>
      <c r="D12" s="33" t="s">
        <v>61</v>
      </c>
      <c r="E12" s="47" t="str">
        <f t="shared" si="0"/>
        <v>s1q10_sub_county</v>
      </c>
      <c r="F12" s="33" t="s">
        <v>62</v>
      </c>
      <c r="G12" s="47" t="str">
        <f t="shared" si="1"/>
        <v>S1Q10: Lựa chọn Huyện/Thành phố</v>
      </c>
      <c r="H12" s="8"/>
      <c r="I12" s="8"/>
      <c r="J12" s="8"/>
      <c r="K12" s="8" t="s">
        <v>40</v>
      </c>
      <c r="L12" s="8" t="s">
        <v>50</v>
      </c>
      <c r="M12" s="8"/>
      <c r="N12" s="8"/>
      <c r="O12" s="8"/>
      <c r="P12" s="8"/>
      <c r="Q12" s="8" t="str">
        <f>CONCATENATE("county=${",E11,"}")</f>
        <v>county=${s1q9_county}</v>
      </c>
      <c r="R12" s="8"/>
      <c r="S12" s="33"/>
    </row>
    <row r="13" spans="1:19" s="46" customFormat="1" ht="15" x14ac:dyDescent="0.25">
      <c r="A13" s="8" t="s">
        <v>63</v>
      </c>
      <c r="B13" s="8" t="s">
        <v>42</v>
      </c>
      <c r="C13" s="8" t="s">
        <v>64</v>
      </c>
      <c r="D13" s="33" t="s">
        <v>65</v>
      </c>
      <c r="E13" s="47" t="str">
        <f t="shared" si="0"/>
        <v>s1q11_ward</v>
      </c>
      <c r="F13" s="33" t="s">
        <v>66</v>
      </c>
      <c r="G13" s="47" t="str">
        <f t="shared" si="1"/>
        <v>S1Q11: Lựa chọn xã/phường</v>
      </c>
      <c r="H13" s="8"/>
      <c r="I13" s="8"/>
      <c r="J13" s="8"/>
      <c r="K13" s="8" t="s">
        <v>40</v>
      </c>
      <c r="L13" s="8" t="s">
        <v>50</v>
      </c>
      <c r="M13" s="8"/>
      <c r="N13" s="8"/>
      <c r="O13" s="8"/>
      <c r="P13" s="8"/>
      <c r="Q13" s="8" t="str">
        <f>CONCATENATE("sub_county=${",E12,"}")</f>
        <v>sub_county=${s1q10_sub_county}</v>
      </c>
      <c r="R13" s="8"/>
      <c r="S13" s="33"/>
    </row>
    <row r="14" spans="1:19" x14ac:dyDescent="0.2">
      <c r="A14" s="8" t="s">
        <v>67</v>
      </c>
      <c r="B14" s="8" t="s">
        <v>42</v>
      </c>
      <c r="C14" s="8" t="s">
        <v>68</v>
      </c>
      <c r="D14" s="8" t="s">
        <v>69</v>
      </c>
      <c r="E14" s="9" t="str">
        <f t="shared" si="0"/>
        <v>s1q12_is_via_interpretor</v>
      </c>
      <c r="F14" s="8" t="s">
        <v>70</v>
      </c>
      <c r="G14" s="9" t="str">
        <f t="shared" si="1"/>
        <v>S1Q12: Phỏng vấn có thông qua phiên dịch</v>
      </c>
      <c r="H14" s="8"/>
      <c r="I14" s="8"/>
      <c r="J14" s="8"/>
      <c r="K14" s="8" t="s">
        <v>40</v>
      </c>
      <c r="L14" s="8" t="s">
        <v>50</v>
      </c>
      <c r="M14" s="8"/>
      <c r="N14" s="8"/>
      <c r="O14" s="8"/>
      <c r="P14" s="8"/>
      <c r="Q14" s="8"/>
      <c r="R14" s="8"/>
      <c r="S14" s="8"/>
    </row>
    <row r="15" spans="1:19" x14ac:dyDescent="0.2">
      <c r="A15" s="8" t="s">
        <v>51</v>
      </c>
      <c r="B15" s="8" t="s">
        <v>42</v>
      </c>
      <c r="C15" s="8" t="s">
        <v>71</v>
      </c>
      <c r="D15" s="8" t="s">
        <v>72</v>
      </c>
      <c r="E15" s="9" t="str">
        <f t="shared" si="0"/>
        <v>s1q13_consent</v>
      </c>
      <c r="F15" s="8" t="s">
        <v>73</v>
      </c>
      <c r="G15" s="9" t="str">
        <f t="shared" si="1"/>
        <v>S1Q13: Mã/ID của giấy chấp thuận phỏng vấn</v>
      </c>
      <c r="H15" s="8"/>
      <c r="I15" s="8"/>
      <c r="J15" s="8"/>
      <c r="K15" s="8" t="s">
        <v>40</v>
      </c>
      <c r="L15" s="8"/>
      <c r="M15" s="8"/>
      <c r="N15" s="8"/>
      <c r="O15" s="8"/>
      <c r="P15" s="8"/>
      <c r="Q15" s="8"/>
      <c r="R15" s="8"/>
      <c r="S15" s="8"/>
    </row>
    <row r="16" spans="1:19" x14ac:dyDescent="0.2">
      <c r="A16" s="4" t="s">
        <v>74</v>
      </c>
      <c r="C16" s="4" t="s">
        <v>43</v>
      </c>
      <c r="E16" s="6"/>
    </row>
    <row r="17" spans="1:19" x14ac:dyDescent="0.2">
      <c r="A17" s="4" t="s">
        <v>75</v>
      </c>
      <c r="B17" s="4" t="s">
        <v>76</v>
      </c>
      <c r="C17" s="4" t="s">
        <v>77</v>
      </c>
      <c r="D17" s="4" t="s">
        <v>78</v>
      </c>
      <c r="E17" s="6" t="str">
        <f t="shared" si="0"/>
        <v>s2q14_respondent_type</v>
      </c>
      <c r="F17" s="4" t="s">
        <v>79</v>
      </c>
      <c r="G17" s="4" t="str">
        <f t="shared" si="1"/>
        <v>S2Q14: Vai trò của người trả lời là gì?</v>
      </c>
      <c r="K17" s="4" t="s">
        <v>40</v>
      </c>
    </row>
    <row r="18" spans="1:19" x14ac:dyDescent="0.2">
      <c r="A18" s="27" t="s">
        <v>41</v>
      </c>
      <c r="B18" s="27" t="s">
        <v>76</v>
      </c>
      <c r="C18" s="27" t="s">
        <v>43</v>
      </c>
      <c r="D18" s="27" t="s">
        <v>80</v>
      </c>
      <c r="E18" s="28" t="str">
        <f t="shared" si="0"/>
        <v>s2_grp_owner_section</v>
      </c>
      <c r="F18" s="27" t="s">
        <v>81</v>
      </c>
      <c r="G18" s="27" t="str">
        <f t="shared" si="1"/>
        <v>S2: Thông tin về chủ trang trại/Poultry Owner’s Section</v>
      </c>
      <c r="H18" s="27"/>
      <c r="I18" s="27"/>
      <c r="J18" s="27"/>
      <c r="K18" s="27"/>
      <c r="L18" s="27"/>
      <c r="M18" s="27" t="str">
        <f>CONCATENATE("selected(${",E17,"},'owner')")</f>
        <v>selected(${s2q14_respondent_type},'owner')</v>
      </c>
      <c r="N18" s="27"/>
      <c r="O18" s="27"/>
      <c r="P18" s="27"/>
      <c r="Q18" s="27"/>
      <c r="R18" s="27"/>
      <c r="S18" s="27"/>
    </row>
    <row r="19" spans="1:19" x14ac:dyDescent="0.2">
      <c r="A19" s="14" t="s">
        <v>41</v>
      </c>
      <c r="B19" s="14" t="s">
        <v>76</v>
      </c>
      <c r="C19" s="14" t="s">
        <v>43</v>
      </c>
      <c r="D19" s="14" t="s">
        <v>82</v>
      </c>
      <c r="E19" s="15" t="str">
        <f t="shared" si="0"/>
        <v>s2_grp_owner_demographics</v>
      </c>
      <c r="F19" s="14" t="s">
        <v>83</v>
      </c>
      <c r="G19" s="14" t="str">
        <f t="shared" si="1"/>
        <v>S2: Nhân khẩu và thu nhập của chủ trang trại</v>
      </c>
      <c r="H19" s="14"/>
      <c r="I19" s="14"/>
      <c r="J19" s="14"/>
      <c r="K19" s="14"/>
      <c r="L19" s="14"/>
      <c r="M19" s="14"/>
      <c r="N19" s="14"/>
      <c r="O19" s="14"/>
      <c r="P19" s="14"/>
      <c r="Q19" s="14"/>
      <c r="R19" s="14"/>
      <c r="S19" s="14"/>
    </row>
    <row r="20" spans="1:19" x14ac:dyDescent="0.2">
      <c r="A20" s="14" t="s">
        <v>84</v>
      </c>
      <c r="B20" s="14" t="s">
        <v>76</v>
      </c>
      <c r="C20" s="14" t="s">
        <v>85</v>
      </c>
      <c r="D20" s="14" t="s">
        <v>86</v>
      </c>
      <c r="E20" s="15" t="str">
        <f t="shared" si="0"/>
        <v>s2q15_gender</v>
      </c>
      <c r="F20" s="14" t="s">
        <v>87</v>
      </c>
      <c r="G20" s="14" t="str">
        <f t="shared" si="1"/>
        <v>S2Q15: Giới tính của chủ trang trại</v>
      </c>
      <c r="H20" s="14"/>
      <c r="I20" s="14"/>
      <c r="J20" s="14"/>
      <c r="K20" s="14" t="s">
        <v>40</v>
      </c>
      <c r="L20" s="14" t="s">
        <v>50</v>
      </c>
      <c r="M20" s="14"/>
      <c r="N20" s="14"/>
      <c r="O20" s="14"/>
      <c r="P20" s="14"/>
      <c r="Q20" s="14"/>
      <c r="R20" s="14"/>
      <c r="S20" s="14"/>
    </row>
    <row r="21" spans="1:19" x14ac:dyDescent="0.2">
      <c r="A21" s="14" t="s">
        <v>88</v>
      </c>
      <c r="B21" s="14" t="s">
        <v>76</v>
      </c>
      <c r="C21" s="14" t="s">
        <v>89</v>
      </c>
      <c r="D21" s="14" t="s">
        <v>90</v>
      </c>
      <c r="E21" s="15" t="str">
        <f t="shared" si="0"/>
        <v>s2q16_yob</v>
      </c>
      <c r="F21" s="14" t="s">
        <v>91</v>
      </c>
      <c r="G21" s="14" t="str">
        <f t="shared" si="1"/>
        <v>S2Q16: Năm sinh của chủ trang trại</v>
      </c>
      <c r="H21" s="14"/>
      <c r="I21" s="14" t="s">
        <v>92</v>
      </c>
      <c r="J21" s="14" t="s">
        <v>93</v>
      </c>
      <c r="K21" s="14" t="s">
        <v>40</v>
      </c>
      <c r="L21" s="14" t="s">
        <v>94</v>
      </c>
      <c r="M21" s="14"/>
      <c r="N21" s="14"/>
      <c r="O21" s="14"/>
      <c r="P21" s="14"/>
      <c r="Q21" s="14"/>
      <c r="R21" s="14"/>
      <c r="S21" s="14"/>
    </row>
    <row r="22" spans="1:19" x14ac:dyDescent="0.2">
      <c r="A22" s="14" t="s">
        <v>95</v>
      </c>
      <c r="B22" s="14" t="s">
        <v>76</v>
      </c>
      <c r="C22" s="14" t="s">
        <v>96</v>
      </c>
      <c r="D22" s="14" t="s">
        <v>97</v>
      </c>
      <c r="E22" s="15" t="str">
        <f t="shared" si="0"/>
        <v>s2q17_marital_status</v>
      </c>
      <c r="F22" s="14" t="s">
        <v>98</v>
      </c>
      <c r="G22" s="14" t="str">
        <f t="shared" si="1"/>
        <v>S2Q17: Tình trạng hôn nhân của ông/bà?</v>
      </c>
      <c r="H22" s="14"/>
      <c r="I22" s="14"/>
      <c r="J22" s="14"/>
      <c r="K22" s="14" t="s">
        <v>40</v>
      </c>
      <c r="L22" s="14" t="s">
        <v>50</v>
      </c>
      <c r="M22" s="14"/>
      <c r="N22" s="14"/>
      <c r="O22" s="14"/>
      <c r="P22" s="14"/>
      <c r="Q22" s="14"/>
      <c r="R22" s="14"/>
      <c r="S22" s="14"/>
    </row>
    <row r="23" spans="1:19" x14ac:dyDescent="0.2">
      <c r="A23" s="14" t="s">
        <v>99</v>
      </c>
      <c r="B23" s="14" t="s">
        <v>76</v>
      </c>
      <c r="C23" s="14" t="s">
        <v>100</v>
      </c>
      <c r="D23" s="14" t="s">
        <v>101</v>
      </c>
      <c r="E23" s="15" t="str">
        <f t="shared" si="0"/>
        <v>s2q18_owner_edu</v>
      </c>
      <c r="F23" s="14" t="s">
        <v>102</v>
      </c>
      <c r="G23" s="14" t="str">
        <f t="shared" si="1"/>
        <v>S2Q18: Trình độ học vấn của ông/bà?</v>
      </c>
      <c r="H23" s="14"/>
      <c r="I23" s="14"/>
      <c r="J23" s="14"/>
      <c r="K23" s="14" t="s">
        <v>40</v>
      </c>
      <c r="L23" s="14" t="s">
        <v>50</v>
      </c>
      <c r="M23" s="14"/>
      <c r="N23" s="14"/>
      <c r="O23" s="14"/>
      <c r="P23" s="14"/>
      <c r="Q23" s="14"/>
      <c r="R23" s="14"/>
      <c r="S23" s="14"/>
    </row>
    <row r="24" spans="1:19" x14ac:dyDescent="0.2">
      <c r="A24" s="14" t="s">
        <v>88</v>
      </c>
      <c r="B24" s="14" t="s">
        <v>76</v>
      </c>
      <c r="C24" s="14" t="s">
        <v>103</v>
      </c>
      <c r="D24" s="14" t="s">
        <v>104</v>
      </c>
      <c r="E24" s="15" t="str">
        <f t="shared" si="0"/>
        <v>s2q19_no_hh_members</v>
      </c>
      <c r="F24" s="14" t="s">
        <v>105</v>
      </c>
      <c r="G24" s="14" t="str">
        <f t="shared" si="1"/>
        <v>S2Q19: Trong gia đình ông/bà có bao nhiêu thành viên?</v>
      </c>
      <c r="H24" s="14"/>
      <c r="I24" s="14" t="s">
        <v>106</v>
      </c>
      <c r="J24" s="14"/>
      <c r="K24" s="14" t="s">
        <v>40</v>
      </c>
      <c r="L24" s="14"/>
      <c r="M24" s="14"/>
      <c r="N24" s="14"/>
      <c r="O24" s="14"/>
      <c r="P24" s="14"/>
      <c r="Q24" s="14"/>
      <c r="R24" s="14"/>
      <c r="S24" s="14"/>
    </row>
    <row r="25" spans="1:19" x14ac:dyDescent="0.2">
      <c r="A25" s="14" t="s">
        <v>88</v>
      </c>
      <c r="B25" s="14" t="s">
        <v>76</v>
      </c>
      <c r="C25" s="14" t="s">
        <v>107</v>
      </c>
      <c r="D25" s="14" t="s">
        <v>108</v>
      </c>
      <c r="E25" s="15" t="str">
        <f t="shared" si="0"/>
        <v>s2q20_no_adults</v>
      </c>
      <c r="F25" s="14" t="s">
        <v>109</v>
      </c>
      <c r="G25" s="14" t="str">
        <f t="shared" si="1"/>
        <v>S2Q20: Bao nhiêu người lớn (trên 18 tuổi)?</v>
      </c>
      <c r="H25" s="14"/>
      <c r="I25" s="14" t="str">
        <f>CONCATENATE(". &gt; 0 and . &lt;= ${",E24,"}")</f>
        <v>. &gt; 0 and . &lt;= ${s2q19_no_hh_members}</v>
      </c>
      <c r="J25" s="14" t="s">
        <v>110</v>
      </c>
      <c r="K25" s="14" t="s">
        <v>40</v>
      </c>
      <c r="L25" s="14"/>
      <c r="M25" s="14"/>
      <c r="N25" s="14"/>
      <c r="O25" s="14"/>
      <c r="P25" s="14"/>
      <c r="Q25" s="14"/>
      <c r="R25" s="14"/>
      <c r="S25" s="14"/>
    </row>
    <row r="26" spans="1:19" x14ac:dyDescent="0.2">
      <c r="A26" s="14" t="s">
        <v>111</v>
      </c>
      <c r="B26" s="14" t="s">
        <v>76</v>
      </c>
      <c r="C26" s="14" t="s">
        <v>112</v>
      </c>
      <c r="D26" s="14" t="s">
        <v>113</v>
      </c>
      <c r="E26" s="15" t="str">
        <f t="shared" si="0"/>
        <v>s2q21_experience_owner</v>
      </c>
      <c r="F26" s="14" t="s">
        <v>114</v>
      </c>
      <c r="G26" s="14" t="str">
        <f t="shared" si="1"/>
        <v>S2Q21: Ông/bà đã làm chủ trang trại gà thịt được bao nhiêu năm (trại gà này hoặc trại khác)?</v>
      </c>
      <c r="H26" s="14"/>
      <c r="I26" s="14" t="str">
        <f>CONCATENATE(". &gt; -1 and . &lt; (2022-${",E21,"})")</f>
        <v>. &gt; -1 and . &lt; (2022-${s2q16_yob})</v>
      </c>
      <c r="J26" s="14" t="s">
        <v>115</v>
      </c>
      <c r="K26" s="14" t="s">
        <v>40</v>
      </c>
      <c r="L26" s="14"/>
      <c r="M26" s="14"/>
      <c r="N26" s="14"/>
      <c r="O26" s="14"/>
      <c r="P26" s="14"/>
      <c r="Q26" s="14"/>
      <c r="R26" s="14"/>
      <c r="S26" s="14"/>
    </row>
    <row r="27" spans="1:19" x14ac:dyDescent="0.2">
      <c r="A27" s="14" t="s">
        <v>67</v>
      </c>
      <c r="B27" s="14" t="s">
        <v>76</v>
      </c>
      <c r="C27" s="14" t="s">
        <v>116</v>
      </c>
      <c r="D27" s="14" t="s">
        <v>117</v>
      </c>
      <c r="E27" s="15" t="str">
        <f t="shared" si="0"/>
        <v>s2q22_is_formal_trained</v>
      </c>
      <c r="F27" s="14" t="s">
        <v>118</v>
      </c>
      <c r="G27" s="14" t="str">
        <f t="shared" si="1"/>
        <v>S2Q22: Ông/bà đã từng tham dự khóa tập huấn về chăn nuôi gà/gia cầm, hay về phòng chống dịch bệnh trên đàn gia cầm bao giờ chưa?</v>
      </c>
      <c r="H27" s="14"/>
      <c r="I27" s="14"/>
      <c r="J27" s="14"/>
      <c r="K27" s="14" t="s">
        <v>40</v>
      </c>
      <c r="L27" s="14" t="s">
        <v>50</v>
      </c>
      <c r="M27" s="14"/>
      <c r="N27" s="14"/>
      <c r="O27" s="14"/>
      <c r="P27" s="14"/>
      <c r="Q27" s="14"/>
      <c r="R27" s="14"/>
      <c r="S27" s="14"/>
    </row>
    <row r="28" spans="1:19" x14ac:dyDescent="0.2">
      <c r="A28" s="14" t="s">
        <v>119</v>
      </c>
      <c r="B28" s="14" t="s">
        <v>76</v>
      </c>
      <c r="C28" s="14" t="s">
        <v>120</v>
      </c>
      <c r="D28" s="14" t="s">
        <v>121</v>
      </c>
      <c r="E28" s="15" t="str">
        <f t="shared" si="0"/>
        <v>s2q23_poultry_training</v>
      </c>
      <c r="F28" s="14" t="s">
        <v>122</v>
      </c>
      <c r="G28" s="14" t="str">
        <f t="shared" si="1"/>
        <v>S2Q23: Đó là loại hình khóa tập huấn gì? (Lựa chọn nhiều đáp án)</v>
      </c>
      <c r="H28" s="14"/>
      <c r="I28" s="14"/>
      <c r="J28" s="14"/>
      <c r="K28" s="14" t="s">
        <v>40</v>
      </c>
      <c r="L28" s="14"/>
      <c r="M28" s="14" t="str">
        <f>CONCATENATE("selected(${",E27,"},'yes')")</f>
        <v>selected(${s2q22_is_formal_trained},'yes')</v>
      </c>
      <c r="N28" s="14"/>
      <c r="O28" s="14"/>
      <c r="P28" s="14"/>
      <c r="Q28" s="14"/>
      <c r="R28" s="14"/>
      <c r="S28" s="14"/>
    </row>
    <row r="29" spans="1:19" x14ac:dyDescent="0.2">
      <c r="A29" s="4" t="s">
        <v>74</v>
      </c>
      <c r="C29" s="4" t="s">
        <v>43</v>
      </c>
      <c r="E29" s="6"/>
    </row>
    <row r="30" spans="1:19" x14ac:dyDescent="0.2">
      <c r="A30" s="16" t="s">
        <v>123</v>
      </c>
      <c r="B30" s="16" t="s">
        <v>124</v>
      </c>
      <c r="C30" s="16" t="s">
        <v>43</v>
      </c>
      <c r="D30" s="16" t="s">
        <v>125</v>
      </c>
      <c r="E30" s="17" t="str">
        <f t="shared" si="0"/>
        <v>s3_rpt_training_repeat</v>
      </c>
      <c r="F30" s="16" t="s">
        <v>126</v>
      </c>
      <c r="G30" s="16" t="str">
        <f t="shared" ref="G30:G38" si="2">CONCATENATE(UPPER(B30),UPPER(C30),": ",F30)</f>
        <v>S3: Tập huấn</v>
      </c>
      <c r="H30" s="16"/>
      <c r="I30" s="16"/>
      <c r="J30" s="16"/>
      <c r="K30" s="16"/>
      <c r="L30" s="16"/>
      <c r="M30" s="16" t="str">
        <f>CONCATENATE("selected(${",E27,"},'yes')")</f>
        <v>selected(${s2q22_is_formal_trained},'yes')</v>
      </c>
      <c r="N30" s="16"/>
      <c r="O30" s="19" t="str">
        <f>CONCATENATE("count-selected(${",E28,"})")</f>
        <v>count-selected(${s2q23_poultry_training})</v>
      </c>
      <c r="P30" s="16"/>
      <c r="Q30" s="16"/>
      <c r="R30" s="16"/>
      <c r="S30" s="16"/>
    </row>
    <row r="31" spans="1:19" x14ac:dyDescent="0.2">
      <c r="A31" s="16" t="s">
        <v>127</v>
      </c>
      <c r="B31" s="16" t="s">
        <v>124</v>
      </c>
      <c r="C31" s="16" t="s">
        <v>128</v>
      </c>
      <c r="D31" s="16" t="s">
        <v>129</v>
      </c>
      <c r="E31" s="17" t="str">
        <f t="shared" si="0"/>
        <v>s3c1_cur_training</v>
      </c>
      <c r="F31" s="16"/>
      <c r="G31" s="16"/>
      <c r="H31" s="16"/>
      <c r="I31" s="16"/>
      <c r="J31" s="16"/>
      <c r="K31" s="16"/>
      <c r="L31" s="16"/>
      <c r="M31" s="16"/>
      <c r="N31" s="16"/>
      <c r="O31" s="16"/>
      <c r="P31" s="20" t="str">
        <f>CONCATENATE("selected-at(${",E28,"}, position(..)-1)")</f>
        <v>selected-at(${s2q23_poultry_training}, position(..)-1)</v>
      </c>
      <c r="Q31" s="16"/>
      <c r="R31" s="16"/>
      <c r="S31" s="16"/>
    </row>
    <row r="32" spans="1:19" x14ac:dyDescent="0.2">
      <c r="A32" s="16" t="s">
        <v>127</v>
      </c>
      <c r="B32" s="16" t="s">
        <v>124</v>
      </c>
      <c r="C32" s="16" t="s">
        <v>130</v>
      </c>
      <c r="D32" s="16" t="s">
        <v>131</v>
      </c>
      <c r="E32" s="17" t="str">
        <f t="shared" si="0"/>
        <v>s3c2_cur_training_name</v>
      </c>
      <c r="F32" s="16"/>
      <c r="G32" s="16"/>
      <c r="H32" s="16"/>
      <c r="I32" s="16"/>
      <c r="J32" s="16"/>
      <c r="K32" s="16"/>
      <c r="L32" s="16"/>
      <c r="M32" s="16"/>
      <c r="N32" s="16"/>
      <c r="O32" s="16"/>
      <c r="P32" s="20" t="str">
        <f>CONCATENATE("if(string-length(../",E31,") != 0,jr:choice-name(${",E31,"},'${",E28,"}'),'unknown')")</f>
        <v>if(string-length(../s3c1_cur_training) != 0,jr:choice-name(${s3c1_cur_training},'${s2q23_poultry_training}'),'unknown')</v>
      </c>
      <c r="Q32" s="16"/>
      <c r="R32" s="16"/>
      <c r="S32" s="16"/>
    </row>
    <row r="33" spans="1:19" x14ac:dyDescent="0.2">
      <c r="A33" s="16" t="s">
        <v>41</v>
      </c>
      <c r="B33" s="16" t="s">
        <v>124</v>
      </c>
      <c r="C33" s="16" t="s">
        <v>43</v>
      </c>
      <c r="D33" s="16" t="s">
        <v>132</v>
      </c>
      <c r="E33" s="17" t="str">
        <f>CONCATENATE(B33,C33,"_",D33)</f>
        <v>s3_grp_training_details</v>
      </c>
      <c r="F33" s="16" t="s">
        <v>133</v>
      </c>
      <c r="G33" s="16" t="str">
        <f>CONCATENATE(UPPER(B33),UPPER(C33),": ",F33)</f>
        <v>S3: Chi tiết (của từng tập huấn, nếu có)</v>
      </c>
      <c r="H33" s="16"/>
      <c r="I33" s="16"/>
      <c r="J33" s="16"/>
      <c r="K33" s="16"/>
      <c r="L33" s="16"/>
      <c r="M33" s="16"/>
      <c r="N33" s="16"/>
      <c r="O33" s="16"/>
      <c r="P33" s="20"/>
      <c r="Q33" s="16"/>
      <c r="R33" s="16"/>
      <c r="S33" s="16"/>
    </row>
    <row r="34" spans="1:19" x14ac:dyDescent="0.2">
      <c r="A34" s="16" t="s">
        <v>134</v>
      </c>
      <c r="B34" s="16" t="s">
        <v>124</v>
      </c>
      <c r="C34" s="16" t="s">
        <v>135</v>
      </c>
      <c r="D34" s="16" t="s">
        <v>94</v>
      </c>
      <c r="E34" s="17" t="str">
        <f t="shared" si="0"/>
        <v>s3q24_year</v>
      </c>
      <c r="F34" s="16" t="str">
        <f>CONCATENATE("&lt;span style='color:blue;'&gt;${",E32,"}&lt;/span&gt;: Ông/bà đã hoàn thành khóa tập huấn vào năm nào?")</f>
        <v>&lt;span style='color:blue;'&gt;${s3c2_cur_training_name}&lt;/span&gt;: Ông/bà đã hoàn thành khóa tập huấn vào năm nào?</v>
      </c>
      <c r="G34" s="16" t="str">
        <f t="shared" si="2"/>
        <v>S3Q24: &lt;span style='color:blue;'&gt;${s3c2_cur_training_name}&lt;/span&gt;: Ông/bà đã hoàn thành khóa tập huấn vào năm nào?</v>
      </c>
      <c r="H34" s="16"/>
      <c r="I34" s="16"/>
      <c r="J34" s="16"/>
      <c r="K34" s="16" t="s">
        <v>40</v>
      </c>
      <c r="L34" s="16" t="s">
        <v>94</v>
      </c>
      <c r="M34" s="16"/>
      <c r="N34" s="16"/>
      <c r="O34" s="16"/>
      <c r="P34" s="16"/>
      <c r="Q34" s="16"/>
      <c r="R34" s="16"/>
      <c r="S34" s="16"/>
    </row>
    <row r="35" spans="1:19" x14ac:dyDescent="0.2">
      <c r="A35" s="16" t="s">
        <v>136</v>
      </c>
      <c r="B35" s="16" t="s">
        <v>124</v>
      </c>
      <c r="C35" s="16" t="s">
        <v>137</v>
      </c>
      <c r="D35" s="16" t="s">
        <v>138</v>
      </c>
      <c r="E35" s="17" t="str">
        <f t="shared" si="0"/>
        <v>s3q25_trained_topics</v>
      </c>
      <c r="F35" s="16" t="str">
        <f>CONCATENATE("&lt;span style='color:blue;'&gt;${",E32,"}&lt;/span&gt;: Ông/bà được tập huấn về nội dung gì? (Lựa chọn nhiều đáp án)")</f>
        <v>&lt;span style='color:blue;'&gt;${s3c2_cur_training_name}&lt;/span&gt;: Ông/bà được tập huấn về nội dung gì? (Lựa chọn nhiều đáp án)</v>
      </c>
      <c r="G35" s="16" t="str">
        <f t="shared" si="2"/>
        <v>S3Q25: &lt;span style='color:blue;'&gt;${s3c2_cur_training_name}&lt;/span&gt;: Ông/bà được tập huấn về nội dung gì? (Lựa chọn nhiều đáp án)</v>
      </c>
      <c r="H35" s="16"/>
      <c r="I35" s="16"/>
      <c r="J35" s="16"/>
      <c r="K35" s="16" t="s">
        <v>40</v>
      </c>
      <c r="L35" s="16"/>
      <c r="M35" s="16"/>
      <c r="N35" s="16"/>
      <c r="O35" s="16"/>
      <c r="P35" s="16"/>
      <c r="Q35" s="16"/>
      <c r="R35" s="16"/>
      <c r="S35" s="16"/>
    </row>
    <row r="36" spans="1:19" x14ac:dyDescent="0.2">
      <c r="A36" s="16" t="s">
        <v>139</v>
      </c>
      <c r="B36" s="16" t="s">
        <v>124</v>
      </c>
      <c r="C36" s="16" t="s">
        <v>140</v>
      </c>
      <c r="D36" s="16" t="s">
        <v>141</v>
      </c>
      <c r="E36" s="17" t="str">
        <f t="shared" si="0"/>
        <v>s3q26_trainer</v>
      </c>
      <c r="F36" s="16" t="str">
        <f>CONCATENATE("&lt;span style='color:blue;'&gt;${",E32,"}&lt;/span&gt;: Ai là người tổ chức chương trình tập huấn này? (Lựa chọn nhiều đáp án)")</f>
        <v>&lt;span style='color:blue;'&gt;${s3c2_cur_training_name}&lt;/span&gt;: Ai là người tổ chức chương trình tập huấn này? (Lựa chọn nhiều đáp án)</v>
      </c>
      <c r="G36" s="16" t="str">
        <f t="shared" si="2"/>
        <v>S3Q26: &lt;span style='color:blue;'&gt;${s3c2_cur_training_name}&lt;/span&gt;: Ai là người tổ chức chương trình tập huấn này? (Lựa chọn nhiều đáp án)</v>
      </c>
      <c r="H36" s="16"/>
      <c r="I36" s="16"/>
      <c r="J36" s="16"/>
      <c r="K36" s="16" t="s">
        <v>40</v>
      </c>
      <c r="L36" s="16"/>
      <c r="M36" s="16"/>
      <c r="N36" s="16"/>
      <c r="O36" s="16"/>
      <c r="P36" s="16"/>
      <c r="Q36" s="16"/>
      <c r="R36" s="16"/>
      <c r="S36" s="16"/>
    </row>
    <row r="37" spans="1:19" x14ac:dyDescent="0.2">
      <c r="A37" s="16" t="s">
        <v>67</v>
      </c>
      <c r="B37" s="16" t="s">
        <v>124</v>
      </c>
      <c r="C37" s="16" t="s">
        <v>142</v>
      </c>
      <c r="D37" s="16" t="s">
        <v>143</v>
      </c>
      <c r="E37" s="17" t="str">
        <f t="shared" si="0"/>
        <v>s3q27_is_change_practice</v>
      </c>
      <c r="F37" s="16" t="str">
        <f>CONCATENATE("&lt;span style='color:blue;'&gt;${",E32,"}&lt;/span&gt;: Sau khi được tập huấn, ông/bà có thay đổi gì trong các hoạt động của trại không?")</f>
        <v>&lt;span style='color:blue;'&gt;${s3c2_cur_training_name}&lt;/span&gt;: Sau khi được tập huấn, ông/bà có thay đổi gì trong các hoạt động của trại không?</v>
      </c>
      <c r="G37" s="16" t="str">
        <f t="shared" si="2"/>
        <v>S3Q27: &lt;span style='color:blue;'&gt;${s3c2_cur_training_name}&lt;/span&gt;: Sau khi được tập huấn, ông/bà có thay đổi gì trong các hoạt động của trại không?</v>
      </c>
      <c r="H37" s="16"/>
      <c r="I37" s="16"/>
      <c r="J37" s="16"/>
      <c r="K37" s="16" t="s">
        <v>40</v>
      </c>
      <c r="L37" s="16" t="s">
        <v>50</v>
      </c>
      <c r="M37" s="16"/>
      <c r="N37" s="16"/>
      <c r="O37" s="16"/>
      <c r="P37" s="16"/>
      <c r="Q37" s="16"/>
      <c r="R37" s="16"/>
      <c r="S37" s="16"/>
    </row>
    <row r="38" spans="1:19" x14ac:dyDescent="0.2">
      <c r="A38" s="16" t="s">
        <v>144</v>
      </c>
      <c r="B38" s="16" t="s">
        <v>124</v>
      </c>
      <c r="C38" s="16" t="s">
        <v>145</v>
      </c>
      <c r="D38" s="16" t="s">
        <v>146</v>
      </c>
      <c r="E38" s="17" t="str">
        <f t="shared" si="0"/>
        <v>s3q28_what_changed</v>
      </c>
      <c r="F38" s="16" t="str">
        <f>CONCATENATE("&lt;span style='color:blue;'&gt;${",E32,"}&lt;/span&gt;: Ông/bà đã thay đổi việc gì? (Lựa chọn nhiều đáp án)")</f>
        <v>&lt;span style='color:blue;'&gt;${s3c2_cur_training_name}&lt;/span&gt;: Ông/bà đã thay đổi việc gì? (Lựa chọn nhiều đáp án)</v>
      </c>
      <c r="G38" s="16" t="str">
        <f t="shared" si="2"/>
        <v>S3Q28: &lt;span style='color:blue;'&gt;${s3c2_cur_training_name}&lt;/span&gt;: Ông/bà đã thay đổi việc gì? (Lựa chọn nhiều đáp án)</v>
      </c>
      <c r="H38" s="16"/>
      <c r="I38" s="16"/>
      <c r="J38" s="16"/>
      <c r="K38" s="16" t="s">
        <v>40</v>
      </c>
      <c r="L38" s="16"/>
      <c r="M38" s="16" t="str">
        <f>CONCATENATE("selected(${",E37,"},'yes')")</f>
        <v>selected(${s3q27_is_change_practice},'yes')</v>
      </c>
      <c r="N38" s="16"/>
      <c r="O38" s="16"/>
      <c r="P38" s="16"/>
      <c r="Q38" s="16"/>
      <c r="R38" s="16"/>
      <c r="S38" s="16"/>
    </row>
    <row r="39" spans="1:19" x14ac:dyDescent="0.2">
      <c r="A39" s="4" t="s">
        <v>74</v>
      </c>
      <c r="C39" s="4" t="s">
        <v>43</v>
      </c>
      <c r="E39" s="6"/>
    </row>
    <row r="40" spans="1:19" x14ac:dyDescent="0.2">
      <c r="A40" s="4" t="s">
        <v>147</v>
      </c>
      <c r="C40" s="4" t="s">
        <v>43</v>
      </c>
      <c r="E40" s="6"/>
    </row>
    <row r="41" spans="1:19" x14ac:dyDescent="0.2">
      <c r="A41" s="21" t="s">
        <v>148</v>
      </c>
      <c r="B41" s="21" t="s">
        <v>149</v>
      </c>
      <c r="C41" s="21" t="s">
        <v>150</v>
      </c>
      <c r="D41" s="21" t="s">
        <v>151</v>
      </c>
      <c r="E41" s="22" t="str">
        <f t="shared" si="0"/>
        <v>s4q29_income</v>
      </c>
      <c r="F41" s="21" t="s">
        <v>152</v>
      </c>
      <c r="G41" s="21" t="str">
        <f t="shared" ref="G41:G49" si="3">CONCATENATE(UPPER(B41),UPPER(C41),": ",F41)</f>
        <v>S4Q29: Thu nhập từ trại gà (thịt) chiếm bao nhiêu phần trong tổng thu nhập của gia đình ông/bà? (Chọn MỘT đáp án)</v>
      </c>
      <c r="H41" s="21"/>
      <c r="I41" s="21"/>
      <c r="J41" s="21"/>
      <c r="K41" s="21" t="s">
        <v>40</v>
      </c>
      <c r="L41" s="21" t="s">
        <v>50</v>
      </c>
      <c r="M41" s="21"/>
      <c r="N41" s="21"/>
      <c r="O41" s="21"/>
      <c r="P41" s="21"/>
      <c r="Q41" s="21"/>
      <c r="R41" s="21"/>
      <c r="S41" s="21"/>
    </row>
    <row r="42" spans="1:19" x14ac:dyDescent="0.2">
      <c r="A42" s="21" t="s">
        <v>41</v>
      </c>
      <c r="B42" s="21" t="s">
        <v>149</v>
      </c>
      <c r="C42" s="21" t="s">
        <v>43</v>
      </c>
      <c r="D42" s="21" t="s">
        <v>153</v>
      </c>
      <c r="E42" s="22" t="str">
        <f t="shared" si="0"/>
        <v>s4_grp_no_employees</v>
      </c>
      <c r="F42" s="21" t="s">
        <v>154</v>
      </c>
      <c r="G42" s="21" t="str">
        <f t="shared" si="3"/>
        <v>S4: Số lượng nhân công/người lao động tham gia (lưu ý số lượng đếm và số chính xác cho từng mục để tổng số phù hợp)</v>
      </c>
      <c r="H42" s="21"/>
      <c r="I42" s="21"/>
      <c r="J42" s="21"/>
      <c r="K42" s="21"/>
      <c r="L42" s="21"/>
      <c r="M42" s="21"/>
      <c r="N42" s="21"/>
      <c r="O42" s="21"/>
      <c r="P42" s="21"/>
      <c r="Q42" s="21"/>
      <c r="R42" s="21"/>
      <c r="S42" s="21"/>
    </row>
    <row r="43" spans="1:19" x14ac:dyDescent="0.2">
      <c r="A43" s="21" t="s">
        <v>88</v>
      </c>
      <c r="B43" s="21" t="s">
        <v>149</v>
      </c>
      <c r="C43" s="21" t="s">
        <v>155</v>
      </c>
      <c r="D43" s="21" t="s">
        <v>156</v>
      </c>
      <c r="E43" s="22" t="str">
        <f t="shared" si="0"/>
        <v>s4q30_total_staff</v>
      </c>
      <c r="F43" s="21" t="s">
        <v>157</v>
      </c>
      <c r="G43" s="21" t="str">
        <f t="shared" si="3"/>
        <v>S4Q30: Nếu không kể bản thân ông/bà, trại của ông/bà có bao nhiêu người làm việc hoặc giúp đỡ các công việc trong trại (bao gồm cả người được trả công và không được trả công)?</v>
      </c>
      <c r="H43" s="21" t="s">
        <v>158</v>
      </c>
      <c r="I43" s="21" t="s">
        <v>159</v>
      </c>
      <c r="J43" s="21"/>
      <c r="K43" s="21" t="s">
        <v>40</v>
      </c>
      <c r="L43" s="21"/>
      <c r="M43" s="21"/>
      <c r="N43" s="21"/>
      <c r="O43" s="21"/>
      <c r="P43" s="21"/>
      <c r="Q43" s="21"/>
      <c r="R43" s="21"/>
      <c r="S43" s="21"/>
    </row>
    <row r="44" spans="1:19" x14ac:dyDescent="0.2">
      <c r="A44" s="21" t="s">
        <v>88</v>
      </c>
      <c r="B44" s="21" t="s">
        <v>149</v>
      </c>
      <c r="C44" s="21" t="s">
        <v>160</v>
      </c>
      <c r="D44" s="21" t="s">
        <v>161</v>
      </c>
      <c r="E44" s="22" t="str">
        <f t="shared" si="0"/>
        <v>s4q31_no_male_high_skilled</v>
      </c>
      <c r="F44" s="21" t="s">
        <v>162</v>
      </c>
      <c r="G44" s="21" t="str">
        <f t="shared" si="3"/>
        <v>S4Q31: Có bao nhiêu nhân công/cán bộ là &lt;span style='color:blue;'&gt;nam giới có kỹ năng/kinh nghiệm tốt được trả lương/công&lt;/span&gt;</v>
      </c>
      <c r="H44" s="21"/>
      <c r="I44" s="21" t="s">
        <v>159</v>
      </c>
      <c r="J44" s="21"/>
      <c r="K44" s="21" t="s">
        <v>40</v>
      </c>
      <c r="L44" s="21"/>
      <c r="M44" s="21" t="str">
        <f>CONCATENATE("${",E43,"} &gt; 0")</f>
        <v>${s4q30_total_staff} &gt; 0</v>
      </c>
      <c r="N44" s="21"/>
      <c r="O44" s="21"/>
      <c r="P44" s="21"/>
      <c r="Q44" s="21"/>
      <c r="R44" s="21"/>
      <c r="S44" s="21"/>
    </row>
    <row r="45" spans="1:19" x14ac:dyDescent="0.2">
      <c r="A45" s="21" t="s">
        <v>88</v>
      </c>
      <c r="B45" s="21" t="s">
        <v>149</v>
      </c>
      <c r="C45" s="21" t="s">
        <v>163</v>
      </c>
      <c r="D45" s="21" t="s">
        <v>164</v>
      </c>
      <c r="E45" s="22" t="str">
        <f t="shared" si="0"/>
        <v>s4q32_no_female_high_skilled</v>
      </c>
      <c r="F45" s="21" t="s">
        <v>165</v>
      </c>
      <c r="G45" s="21" t="str">
        <f t="shared" si="3"/>
        <v>S4Q32: Có bao nhiêu nhân công/cán bộ là &lt;span style='color:blue;'&gt;nữ giới có kỹ năng/kinh nghiệm tốt được trả lương/công&lt;/span&gt;</v>
      </c>
      <c r="H45" s="21"/>
      <c r="I45" s="21" t="s">
        <v>159</v>
      </c>
      <c r="J45" s="21"/>
      <c r="K45" s="21" t="s">
        <v>40</v>
      </c>
      <c r="L45" s="21"/>
      <c r="M45" s="21" t="str">
        <f>CONCATENATE("${",E43,"} &gt; 0")</f>
        <v>${s4q30_total_staff} &gt; 0</v>
      </c>
      <c r="N45" s="21"/>
      <c r="O45" s="21"/>
      <c r="P45" s="21"/>
      <c r="Q45" s="21"/>
      <c r="R45" s="21"/>
      <c r="S45" s="21"/>
    </row>
    <row r="46" spans="1:19" x14ac:dyDescent="0.2">
      <c r="A46" s="21" t="s">
        <v>88</v>
      </c>
      <c r="B46" s="21" t="s">
        <v>149</v>
      </c>
      <c r="C46" s="21" t="s">
        <v>166</v>
      </c>
      <c r="D46" s="21" t="s">
        <v>167</v>
      </c>
      <c r="E46" s="22" t="str">
        <f t="shared" si="0"/>
        <v>s4q33_no_male_low_skilled</v>
      </c>
      <c r="F46" s="21" t="s">
        <v>168</v>
      </c>
      <c r="G46" s="21" t="str">
        <f t="shared" si="3"/>
        <v>S4Q33: Có bao nhiêu nhân công/cán bộ là  &lt;span style='color:blue;'&gt;nam giới có kỹ năng thấp được trả lương/công&lt;/span&gt;</v>
      </c>
      <c r="H46" s="21"/>
      <c r="I46" s="21" t="s">
        <v>159</v>
      </c>
      <c r="J46" s="21"/>
      <c r="K46" s="21" t="s">
        <v>40</v>
      </c>
      <c r="L46" s="21"/>
      <c r="M46" s="21" t="str">
        <f>CONCATENATE("${",E43,"} &gt; 0")</f>
        <v>${s4q30_total_staff} &gt; 0</v>
      </c>
      <c r="N46" s="21"/>
      <c r="O46" s="21"/>
      <c r="P46" s="21"/>
      <c r="Q46" s="21"/>
      <c r="R46" s="21"/>
      <c r="S46" s="21"/>
    </row>
    <row r="47" spans="1:19" x14ac:dyDescent="0.2">
      <c r="A47" s="21" t="s">
        <v>88</v>
      </c>
      <c r="B47" s="21" t="s">
        <v>149</v>
      </c>
      <c r="C47" s="21" t="s">
        <v>169</v>
      </c>
      <c r="D47" s="21" t="s">
        <v>170</v>
      </c>
      <c r="E47" s="22" t="str">
        <f t="shared" si="0"/>
        <v>s4q34_no_female_low_skilled</v>
      </c>
      <c r="F47" s="21" t="s">
        <v>171</v>
      </c>
      <c r="G47" s="21" t="str">
        <f t="shared" si="3"/>
        <v>S4Q34: Có bao nhiêu nhân công/cán bộ là &lt;span style='color:blue;'&gt;nữ giới có kỹ năng thấp được trả lương/công&lt;/span&gt;</v>
      </c>
      <c r="H47" s="21"/>
      <c r="I47" s="21" t="s">
        <v>159</v>
      </c>
      <c r="J47" s="21"/>
      <c r="K47" s="21" t="s">
        <v>40</v>
      </c>
      <c r="L47" s="21"/>
      <c r="M47" s="21" t="str">
        <f>CONCATENATE("${",E43,"} &gt; 0")</f>
        <v>${s4q30_total_staff} &gt; 0</v>
      </c>
      <c r="N47" s="21"/>
      <c r="O47" s="21"/>
      <c r="P47" s="21"/>
      <c r="Q47" s="21"/>
      <c r="R47" s="21"/>
      <c r="S47" s="21"/>
    </row>
    <row r="48" spans="1:19" x14ac:dyDescent="0.2">
      <c r="A48" s="21" t="s">
        <v>88</v>
      </c>
      <c r="B48" s="21" t="s">
        <v>149</v>
      </c>
      <c r="C48" s="21" t="s">
        <v>172</v>
      </c>
      <c r="D48" s="21" t="s">
        <v>173</v>
      </c>
      <c r="E48" s="22" t="str">
        <f t="shared" si="0"/>
        <v>s4q35_no_male_unpaid</v>
      </c>
      <c r="F48" s="21" t="s">
        <v>174</v>
      </c>
      <c r="G48" s="21" t="str">
        <f t="shared" si="3"/>
        <v>S4Q35: Có bao nhiêu nhân công/cán bộ là &lt;span style='color:blue;'&gt;nam giới không được trả lương/công&lt;/span&gt;</v>
      </c>
      <c r="H48" s="21"/>
      <c r="I48" s="21" t="s">
        <v>159</v>
      </c>
      <c r="J48" s="21"/>
      <c r="K48" s="21" t="s">
        <v>40</v>
      </c>
      <c r="L48" s="21"/>
      <c r="M48" s="21" t="str">
        <f>CONCATENATE("${",E43,"} &gt; 0")</f>
        <v>${s4q30_total_staff} &gt; 0</v>
      </c>
      <c r="N48" s="21"/>
      <c r="O48" s="21"/>
      <c r="P48" s="21"/>
      <c r="Q48" s="21"/>
      <c r="R48" s="21"/>
      <c r="S48" s="21"/>
    </row>
    <row r="49" spans="1:19" x14ac:dyDescent="0.2">
      <c r="A49" s="21" t="s">
        <v>88</v>
      </c>
      <c r="B49" s="21" t="s">
        <v>149</v>
      </c>
      <c r="C49" s="21" t="s">
        <v>175</v>
      </c>
      <c r="D49" s="21" t="s">
        <v>176</v>
      </c>
      <c r="E49" s="22" t="str">
        <f t="shared" si="0"/>
        <v>s4q36_no_female_unpaid</v>
      </c>
      <c r="F49" s="21" t="s">
        <v>177</v>
      </c>
      <c r="G49" s="21" t="str">
        <f t="shared" si="3"/>
        <v>S4Q36: Có bao nhiêu nhân công/cán bộ là &lt;span style='color:blue;'&gt;nữ giới không được trả lương/công&lt;/span&gt;</v>
      </c>
      <c r="H49" s="21"/>
      <c r="I49" s="21" t="str">
        <f>CONCATENATE("${",E43,"} = (${",E44,"}+${",E45,"}+${",E46,"}+${",E47,"}+${",E48,"} + .)")</f>
        <v>${s4q30_total_staff} = (${s4q31_no_male_high_skilled}+${s4q32_no_female_high_skilled}+${s4q33_no_male_low_skilled}+${s4q34_no_female_low_skilled}+${s4q35_no_male_unpaid} + .)</v>
      </c>
      <c r="J49" s="21" t="str">
        <f>CONCATENATE("The number of employees indicated in S4Q31 - S4Q36 should be equal to total number of employees in S430")</f>
        <v>The number of employees indicated in S4Q31 - S4Q36 should be equal to total number of employees in S430</v>
      </c>
      <c r="K49" s="21" t="s">
        <v>40</v>
      </c>
      <c r="L49" s="21"/>
      <c r="M49" s="21" t="str">
        <f>CONCATENATE("${",E43,"} &gt; 0")</f>
        <v>${s4q30_total_staff} &gt; 0</v>
      </c>
      <c r="N49" s="21"/>
      <c r="O49" s="21"/>
      <c r="P49" s="21"/>
      <c r="Q49" s="21"/>
      <c r="R49" s="21"/>
      <c r="S49" s="21"/>
    </row>
    <row r="50" spans="1:19" x14ac:dyDescent="0.2">
      <c r="A50" s="4" t="s">
        <v>74</v>
      </c>
      <c r="C50" s="4" t="s">
        <v>43</v>
      </c>
    </row>
    <row r="51" spans="1:19" x14ac:dyDescent="0.2">
      <c r="A51" s="23" t="s">
        <v>41</v>
      </c>
      <c r="B51" s="23" t="s">
        <v>178</v>
      </c>
      <c r="C51" s="23" t="s">
        <v>43</v>
      </c>
      <c r="D51" s="23" t="s">
        <v>179</v>
      </c>
      <c r="E51" s="24" t="str">
        <f t="shared" si="0"/>
        <v>s5_grp_wages</v>
      </c>
      <c r="F51" s="23" t="s">
        <v>180</v>
      </c>
      <c r="G51" s="23" t="str">
        <f>CONCATENATE(UPPER(B51),UPPER(C51),": ",F51)</f>
        <v xml:space="preserve">S5: Tiền lương/công của người lao động </v>
      </c>
      <c r="H51" s="23"/>
      <c r="I51" s="23"/>
      <c r="J51" s="23"/>
      <c r="K51" s="23"/>
      <c r="L51" s="23"/>
      <c r="M51" s="23"/>
      <c r="N51" s="23"/>
      <c r="O51" s="23"/>
      <c r="P51" s="23"/>
      <c r="Q51" s="23"/>
      <c r="R51" s="23"/>
      <c r="S51" s="23"/>
    </row>
    <row r="52" spans="1:19" x14ac:dyDescent="0.2">
      <c r="A52" s="23" t="s">
        <v>88</v>
      </c>
      <c r="B52" s="23" t="s">
        <v>178</v>
      </c>
      <c r="C52" s="23" t="s">
        <v>181</v>
      </c>
      <c r="D52" s="23" t="s">
        <v>182</v>
      </c>
      <c r="E52" s="24" t="str">
        <f t="shared" si="0"/>
        <v>s5q37_wage_male_high_skilled</v>
      </c>
      <c r="F52" s="23" t="s">
        <v>183</v>
      </c>
      <c r="G52" s="23" t="str">
        <f>CONCATENATE(UPPER(B52),UPPER(C52),": ",F52)</f>
        <v>S5Q37: &lt;span style='color:blue;'&gt;Đối với nhân công/cán bộ là nam giới có kỹ năng/kinh nghiệm tốt&lt;/span&gt;: Ông/bà trả lương trung bình bao nhiêu (ngàn VND)/tháng?</v>
      </c>
      <c r="H52" s="23"/>
      <c r="I52" s="23" t="s">
        <v>184</v>
      </c>
      <c r="J52" s="23"/>
      <c r="K52" s="23" t="s">
        <v>40</v>
      </c>
      <c r="L52" s="23"/>
      <c r="M52" s="23" t="str">
        <f>CONCATENATE("${",E44,"} &gt; 0")</f>
        <v>${s4q31_no_male_high_skilled} &gt; 0</v>
      </c>
      <c r="N52" s="23"/>
      <c r="O52" s="23"/>
      <c r="P52" s="23"/>
      <c r="Q52" s="23"/>
      <c r="R52" s="23"/>
      <c r="S52" s="23"/>
    </row>
    <row r="53" spans="1:19" x14ac:dyDescent="0.2">
      <c r="A53" s="23" t="s">
        <v>88</v>
      </c>
      <c r="B53" s="23" t="s">
        <v>178</v>
      </c>
      <c r="C53" s="23" t="s">
        <v>185</v>
      </c>
      <c r="D53" s="23" t="s">
        <v>186</v>
      </c>
      <c r="E53" s="24" t="str">
        <f t="shared" si="0"/>
        <v>s5q38_wage_female_high_skilled</v>
      </c>
      <c r="F53" s="23" t="s">
        <v>187</v>
      </c>
      <c r="G53" s="23" t="str">
        <f>CONCATENATE(UPPER(B53),UPPER(C53),": ",F53)</f>
        <v>S5Q38: &lt;span style='color:blue;'&gt;Đối với nhân công/cán bộ là nữ giới có kỹ năng/kinh nghiệm tốt&lt;/span&gt;: Ông/bà trả lương trung bình bao nhiêu (ngàn VND)/tháng?</v>
      </c>
      <c r="H53" s="23"/>
      <c r="I53" s="23" t="s">
        <v>184</v>
      </c>
      <c r="J53" s="23"/>
      <c r="K53" s="23" t="s">
        <v>40</v>
      </c>
      <c r="L53" s="23"/>
      <c r="M53" s="23" t="str">
        <f>CONCATENATE("${",E45,"} &gt; 0")</f>
        <v>${s4q32_no_female_high_skilled} &gt; 0</v>
      </c>
      <c r="N53" s="23"/>
      <c r="O53" s="23"/>
      <c r="P53" s="23"/>
      <c r="Q53" s="23"/>
      <c r="R53" s="23"/>
      <c r="S53" s="23"/>
    </row>
    <row r="54" spans="1:19" x14ac:dyDescent="0.2">
      <c r="A54" s="23" t="s">
        <v>88</v>
      </c>
      <c r="B54" s="23" t="s">
        <v>178</v>
      </c>
      <c r="C54" s="23" t="s">
        <v>188</v>
      </c>
      <c r="D54" s="23" t="s">
        <v>189</v>
      </c>
      <c r="E54" s="24" t="str">
        <f t="shared" si="0"/>
        <v>s5q39_wage_male_low_skilled</v>
      </c>
      <c r="F54" s="23" t="s">
        <v>190</v>
      </c>
      <c r="G54" s="23" t="str">
        <f>CONCATENATE(UPPER(B54),UPPER(C54),": ",F54)</f>
        <v>S5Q39: &lt;span style='color:blue;'&gt;Đối với nhân công/cán bộ là nam giới có kỹ năng thấp&lt;/span&gt;: Ông/bà trả lương trung bình bao nhiêu (ngàn VND)/tháng?</v>
      </c>
      <c r="H54" s="23"/>
      <c r="I54" s="23" t="s">
        <v>184</v>
      </c>
      <c r="J54" s="23"/>
      <c r="K54" s="23" t="s">
        <v>40</v>
      </c>
      <c r="L54" s="23"/>
      <c r="M54" s="23" t="str">
        <f>CONCATENATE("${",E46,"} &gt; 0")</f>
        <v>${s4q33_no_male_low_skilled} &gt; 0</v>
      </c>
      <c r="N54" s="23"/>
      <c r="O54" s="23"/>
      <c r="P54" s="23"/>
      <c r="Q54" s="23"/>
      <c r="R54" s="23"/>
      <c r="S54" s="23"/>
    </row>
    <row r="55" spans="1:19" x14ac:dyDescent="0.2">
      <c r="A55" s="23" t="s">
        <v>88</v>
      </c>
      <c r="B55" s="23" t="s">
        <v>178</v>
      </c>
      <c r="C55" s="23" t="s">
        <v>191</v>
      </c>
      <c r="D55" s="23" t="s">
        <v>192</v>
      </c>
      <c r="E55" s="24" t="str">
        <f t="shared" si="0"/>
        <v>s5q40_wage_female_low_skilled</v>
      </c>
      <c r="F55" s="23" t="s">
        <v>190</v>
      </c>
      <c r="G55" s="23" t="str">
        <f>CONCATENATE(UPPER(B55),UPPER(C55),": ",F55)</f>
        <v>S5Q40: &lt;span style='color:blue;'&gt;Đối với nhân công/cán bộ là nam giới có kỹ năng thấp&lt;/span&gt;: Ông/bà trả lương trung bình bao nhiêu (ngàn VND)/tháng?</v>
      </c>
      <c r="H55" s="23"/>
      <c r="I55" s="23" t="s">
        <v>184</v>
      </c>
      <c r="J55" s="23"/>
      <c r="K55" s="23" t="s">
        <v>40</v>
      </c>
      <c r="L55" s="23"/>
      <c r="M55" s="23" t="str">
        <f>CONCATENATE("${",E47,"} &gt; 0")</f>
        <v>${s4q34_no_female_low_skilled} &gt; 0</v>
      </c>
      <c r="N55" s="23"/>
      <c r="O55" s="23"/>
      <c r="P55" s="23"/>
      <c r="Q55" s="23"/>
      <c r="R55" s="23"/>
      <c r="S55" s="23"/>
    </row>
    <row r="56" spans="1:19" x14ac:dyDescent="0.2">
      <c r="A56" s="4" t="s">
        <v>74</v>
      </c>
      <c r="C56" s="4" t="s">
        <v>43</v>
      </c>
    </row>
    <row r="57" spans="1:19" x14ac:dyDescent="0.2">
      <c r="A57" s="25" t="s">
        <v>41</v>
      </c>
      <c r="B57" s="25" t="s">
        <v>193</v>
      </c>
      <c r="C57" s="25" t="s">
        <v>43</v>
      </c>
      <c r="D57" s="25" t="s">
        <v>194</v>
      </c>
      <c r="E57" s="5" t="str">
        <f t="shared" si="0"/>
        <v>s6_grp_employee_training</v>
      </c>
      <c r="F57" s="25" t="s">
        <v>195</v>
      </c>
      <c r="G57" s="25" t="str">
        <f>CONCATENATE(UPPER(B57),UPPER(C57),": ",F57)</f>
        <v>S6: Tập huấn cho những người lao động</v>
      </c>
      <c r="H57" s="25"/>
      <c r="I57" s="25"/>
      <c r="J57" s="25"/>
      <c r="K57" s="25"/>
      <c r="L57" s="25"/>
      <c r="M57" s="25" t="str">
        <f>CONCATENATE("${",E43,"} &gt; 0")</f>
        <v>${s4q30_total_staff} &gt; 0</v>
      </c>
      <c r="N57" s="25"/>
      <c r="O57" s="25"/>
      <c r="P57" s="25"/>
      <c r="Q57" s="25"/>
      <c r="R57" s="25"/>
      <c r="S57" s="25"/>
    </row>
    <row r="58" spans="1:19" x14ac:dyDescent="0.2">
      <c r="A58" s="25" t="s">
        <v>196</v>
      </c>
      <c r="B58" s="25" t="s">
        <v>193</v>
      </c>
      <c r="C58" s="25" t="s">
        <v>197</v>
      </c>
      <c r="D58" s="25" t="s">
        <v>198</v>
      </c>
      <c r="E58" s="5" t="str">
        <f t="shared" si="0"/>
        <v>s6q41_is_live_onfarm</v>
      </c>
      <c r="F58" s="25" t="s">
        <v>199</v>
      </c>
      <c r="G58" s="25" t="str">
        <f>CONCATENATE(UPPER(B58),UPPER(C58),": ",F58)</f>
        <v>S6Q41: Người lao động có ở trong khu trang trại nuôi của ông/bà không?</v>
      </c>
      <c r="H58" s="25"/>
      <c r="I58" s="25"/>
      <c r="J58" s="25"/>
      <c r="K58" s="25" t="s">
        <v>40</v>
      </c>
      <c r="L58" s="25" t="s">
        <v>50</v>
      </c>
      <c r="M58" s="25"/>
      <c r="N58" s="25"/>
      <c r="O58" s="25"/>
      <c r="P58" s="25"/>
      <c r="Q58" s="25"/>
      <c r="R58" s="25"/>
      <c r="S58" s="25"/>
    </row>
    <row r="59" spans="1:19" x14ac:dyDescent="0.2">
      <c r="A59" s="25" t="s">
        <v>196</v>
      </c>
      <c r="B59" s="25" t="s">
        <v>193</v>
      </c>
      <c r="C59" s="25" t="s">
        <v>200</v>
      </c>
      <c r="D59" s="25" t="s">
        <v>117</v>
      </c>
      <c r="E59" s="5" t="str">
        <f t="shared" si="0"/>
        <v>s6q42_is_formal_trained</v>
      </c>
      <c r="F59" s="25" t="s">
        <v>201</v>
      </c>
      <c r="G59" s="25" t="str">
        <f>CONCATENATE(UPPER(B59),UPPER(C59),": ",F59)</f>
        <v>S6Q42: Người lao động/cán bộ của ông/bà đã từng tham dự khóa tập huấn về chăn nuôi gà/gia cầm, hay về phòng chống dịch bệnh trên đàn gia cầm bao giờ chưa?  (Gợi ý: có thể bao gồm các buổi tập huấn bởi các cơ quan nhà nước, tổ chức phi chính phủ etc.)?</v>
      </c>
      <c r="H59" s="25" t="s">
        <v>202</v>
      </c>
      <c r="I59" s="25"/>
      <c r="J59" s="25"/>
      <c r="K59" s="25" t="s">
        <v>40</v>
      </c>
      <c r="L59" s="25" t="s">
        <v>50</v>
      </c>
      <c r="M59" s="25"/>
      <c r="N59" s="25"/>
      <c r="O59" s="25"/>
      <c r="P59" s="25"/>
      <c r="Q59" s="25"/>
      <c r="R59" s="25"/>
      <c r="S59" s="25"/>
    </row>
    <row r="60" spans="1:19" x14ac:dyDescent="0.2">
      <c r="A60" s="25" t="s">
        <v>136</v>
      </c>
      <c r="B60" s="25" t="s">
        <v>193</v>
      </c>
      <c r="C60" s="25" t="s">
        <v>203</v>
      </c>
      <c r="D60" s="25" t="s">
        <v>138</v>
      </c>
      <c r="E60" s="5" t="str">
        <f t="shared" si="0"/>
        <v>s6q43_trained_topics</v>
      </c>
      <c r="F60" s="25" t="s">
        <v>204</v>
      </c>
      <c r="G60" s="25" t="str">
        <f>CONCATENATE(UPPER(B60),UPPER(C60),": ",F60)</f>
        <v xml:space="preserve">S6Q43: Họ được tập huấn về nội dung gì? </v>
      </c>
      <c r="H60" s="25"/>
      <c r="I60" s="25"/>
      <c r="J60" s="25"/>
      <c r="K60" s="25" t="s">
        <v>40</v>
      </c>
      <c r="L60" s="25"/>
      <c r="M60" s="84" t="str">
        <f>CONCATENATE("selected(${",E59,"},'yes_all') or selected(${",E59,"},'yes_some')")</f>
        <v>selected(${s6q42_is_formal_trained},'yes_all') or selected(${s6q42_is_formal_trained},'yes_some')</v>
      </c>
      <c r="N60" s="25"/>
      <c r="O60" s="25"/>
      <c r="P60" s="25"/>
      <c r="Q60" s="25"/>
      <c r="R60" s="25"/>
      <c r="S60" s="25"/>
    </row>
    <row r="61" spans="1:19" x14ac:dyDescent="0.2">
      <c r="A61" s="25" t="s">
        <v>139</v>
      </c>
      <c r="B61" s="25" t="s">
        <v>193</v>
      </c>
      <c r="C61" s="25" t="s">
        <v>205</v>
      </c>
      <c r="D61" s="25" t="s">
        <v>141</v>
      </c>
      <c r="E61" s="5" t="str">
        <f t="shared" si="0"/>
        <v>s6q44_trainer</v>
      </c>
      <c r="F61" s="25" t="s">
        <v>206</v>
      </c>
      <c r="G61" s="25" t="str">
        <f>CONCATENATE(UPPER(B61),UPPER(C61),": ",F61)</f>
        <v>S6Q44: Ai là người tổ chức chương trình tập huấn này?</v>
      </c>
      <c r="H61" s="25"/>
      <c r="I61" s="25"/>
      <c r="J61" s="25"/>
      <c r="K61" s="25" t="s">
        <v>40</v>
      </c>
      <c r="L61" s="25"/>
      <c r="M61" s="84" t="str">
        <f>CONCATENATE("selected(${",E59,"},'yes_all') or selected(${",E59,"},'yes_some')")</f>
        <v>selected(${s6q42_is_formal_trained},'yes_all') or selected(${s6q42_is_formal_trained},'yes_some')</v>
      </c>
      <c r="N61" s="25"/>
      <c r="O61" s="25"/>
      <c r="P61" s="25"/>
      <c r="Q61" s="25"/>
      <c r="R61" s="25"/>
      <c r="S61" s="25"/>
    </row>
    <row r="62" spans="1:19" x14ac:dyDescent="0.2">
      <c r="A62" s="4" t="s">
        <v>74</v>
      </c>
      <c r="C62" s="4" t="s">
        <v>43</v>
      </c>
      <c r="E62" s="6"/>
    </row>
    <row r="63" spans="1:19" x14ac:dyDescent="0.2">
      <c r="A63" s="8" t="s">
        <v>41</v>
      </c>
      <c r="B63" s="8" t="s">
        <v>207</v>
      </c>
      <c r="C63" s="8" t="s">
        <v>43</v>
      </c>
      <c r="D63" s="8" t="s">
        <v>208</v>
      </c>
      <c r="E63" s="9" t="str">
        <f t="shared" si="0"/>
        <v>s7_grp_decisions</v>
      </c>
      <c r="F63" s="8" t="s">
        <v>209</v>
      </c>
      <c r="G63" s="8" t="str">
        <f t="shared" ref="G63:G69" si="4">CONCATENATE(UPPER(B63),UPPER(C63),": ",F63)</f>
        <v>S7: Ra quyết định</v>
      </c>
      <c r="H63" s="8"/>
      <c r="I63" s="8"/>
      <c r="J63" s="8"/>
      <c r="K63" s="8"/>
      <c r="L63" s="8"/>
      <c r="M63" s="8"/>
      <c r="N63" s="8"/>
      <c r="O63" s="8"/>
      <c r="P63" s="8"/>
      <c r="Q63" s="8"/>
      <c r="R63" s="8"/>
      <c r="S63" s="8"/>
    </row>
    <row r="64" spans="1:19" x14ac:dyDescent="0.2">
      <c r="A64" s="8" t="s">
        <v>210</v>
      </c>
      <c r="B64" s="8" t="s">
        <v>207</v>
      </c>
      <c r="C64" s="8" t="s">
        <v>211</v>
      </c>
      <c r="D64" s="8" t="s">
        <v>212</v>
      </c>
      <c r="E64" s="9" t="str">
        <f t="shared" si="0"/>
        <v>s7q45_restocking</v>
      </c>
      <c r="F64" s="8" t="s">
        <v>213</v>
      </c>
      <c r="G64" s="8" t="str">
        <f t="shared" si="4"/>
        <v>S7Q45: Ai là người đưa ra quyết định về &lt;span style='color:blue;'&gt;việc tái đàn?&lt;/span&gt;</v>
      </c>
      <c r="H64" s="8"/>
      <c r="I64" s="8"/>
      <c r="J64" s="8"/>
      <c r="K64" s="8" t="s">
        <v>40</v>
      </c>
      <c r="L64" s="8" t="s">
        <v>50</v>
      </c>
      <c r="M64" s="8"/>
      <c r="N64" s="8"/>
      <c r="O64" s="8"/>
      <c r="P64" s="8"/>
      <c r="Q64" s="8"/>
      <c r="R64" s="8"/>
      <c r="S64" s="8"/>
    </row>
    <row r="65" spans="1:19" x14ac:dyDescent="0.2">
      <c r="A65" s="8" t="s">
        <v>210</v>
      </c>
      <c r="B65" s="8" t="s">
        <v>207</v>
      </c>
      <c r="C65" s="8" t="s">
        <v>214</v>
      </c>
      <c r="D65" s="8" t="s">
        <v>215</v>
      </c>
      <c r="E65" s="9" t="str">
        <f t="shared" si="0"/>
        <v>s7q46_feed_purchase</v>
      </c>
      <c r="F65" s="8" t="s">
        <v>216</v>
      </c>
      <c r="G65" s="8" t="str">
        <f t="shared" si="4"/>
        <v>S7Q46: Ai là người đưa ra quyết định về &lt;span style='color:blue;'&gt;mua loại thức ăn sử dụng&lt;/span&gt;</v>
      </c>
      <c r="H65" s="8"/>
      <c r="I65" s="8"/>
      <c r="J65" s="8"/>
      <c r="K65" s="8" t="s">
        <v>40</v>
      </c>
      <c r="L65" s="8" t="s">
        <v>50</v>
      </c>
      <c r="M65" s="8"/>
      <c r="N65" s="8"/>
      <c r="O65" s="8"/>
      <c r="P65" s="8"/>
      <c r="Q65" s="8"/>
      <c r="R65" s="8"/>
      <c r="S65" s="8"/>
    </row>
    <row r="66" spans="1:19" x14ac:dyDescent="0.2">
      <c r="A66" s="8" t="s">
        <v>210</v>
      </c>
      <c r="B66" s="8" t="s">
        <v>207</v>
      </c>
      <c r="C66" s="8" t="s">
        <v>217</v>
      </c>
      <c r="D66" s="8" t="s">
        <v>218</v>
      </c>
      <c r="E66" s="9" t="str">
        <f t="shared" si="0"/>
        <v>s7q47_med_purchase</v>
      </c>
      <c r="F66" s="8" t="s">
        <v>219</v>
      </c>
      <c r="G66" s="8" t="str">
        <f t="shared" si="4"/>
        <v>S7Q47: Ai là người đưa ra quyết định về &lt;span style='color:blue;'&gt;mua loại thuốc để dùng&lt;/span&gt;</v>
      </c>
      <c r="H66" s="8"/>
      <c r="I66" s="8"/>
      <c r="J66" s="8"/>
      <c r="K66" s="8" t="s">
        <v>40</v>
      </c>
      <c r="L66" s="8" t="s">
        <v>50</v>
      </c>
      <c r="M66" s="8"/>
      <c r="N66" s="8"/>
      <c r="O66" s="8"/>
      <c r="P66" s="8"/>
      <c r="Q66" s="8"/>
      <c r="R66" s="8"/>
      <c r="S66" s="8"/>
    </row>
    <row r="67" spans="1:19" x14ac:dyDescent="0.2">
      <c r="A67" s="8" t="s">
        <v>210</v>
      </c>
      <c r="B67" s="8" t="s">
        <v>207</v>
      </c>
      <c r="C67" s="8" t="s">
        <v>220</v>
      </c>
      <c r="D67" s="8" t="s">
        <v>221</v>
      </c>
      <c r="E67" s="9" t="str">
        <f t="shared" si="0"/>
        <v>s7q48_selling</v>
      </c>
      <c r="F67" s="8" t="s">
        <v>2601</v>
      </c>
      <c r="G67" s="8" t="str">
        <f t="shared" si="4"/>
        <v>S7Q48: Ai là người đưa ra quyết định về &lt;span style='color:blue;'&gt;thời điểm khi nào thì bán gà&lt;/span&gt;</v>
      </c>
      <c r="H67" s="8"/>
      <c r="I67" s="8"/>
      <c r="J67" s="8"/>
      <c r="K67" s="8" t="s">
        <v>40</v>
      </c>
      <c r="L67" s="8" t="s">
        <v>50</v>
      </c>
      <c r="M67" s="8"/>
      <c r="N67" s="8"/>
      <c r="O67" s="8"/>
      <c r="P67" s="8"/>
      <c r="Q67" s="8"/>
      <c r="R67" s="8"/>
      <c r="S67" s="8"/>
    </row>
    <row r="68" spans="1:19" x14ac:dyDescent="0.2">
      <c r="A68" s="8" t="s">
        <v>210</v>
      </c>
      <c r="B68" s="8" t="s">
        <v>207</v>
      </c>
      <c r="C68" s="8" t="s">
        <v>222</v>
      </c>
      <c r="D68" s="8" t="s">
        <v>223</v>
      </c>
      <c r="E68" s="9" t="str">
        <f t="shared" si="0"/>
        <v>s7q49_money_use</v>
      </c>
      <c r="F68" s="8" t="s">
        <v>2602</v>
      </c>
      <c r="G68" s="8" t="str">
        <f t="shared" si="4"/>
        <v>S7Q49: Ai là người đưa ra quyết định về &lt;span style='color:blue;'&gt;việc sử dụng tiền bán gà như thế nào?&lt;/span&gt;</v>
      </c>
      <c r="H68" s="8"/>
      <c r="I68" s="8"/>
      <c r="J68" s="8"/>
      <c r="K68" s="8" t="s">
        <v>40</v>
      </c>
      <c r="L68" s="8" t="s">
        <v>50</v>
      </c>
      <c r="M68" s="8"/>
      <c r="N68" s="8"/>
      <c r="O68" s="8"/>
      <c r="P68" s="8"/>
      <c r="Q68" s="8"/>
      <c r="R68" s="8"/>
      <c r="S68" s="8"/>
    </row>
    <row r="69" spans="1:19" x14ac:dyDescent="0.2">
      <c r="A69" s="8" t="s">
        <v>210</v>
      </c>
      <c r="B69" s="8" t="s">
        <v>207</v>
      </c>
      <c r="C69" s="8" t="s">
        <v>224</v>
      </c>
      <c r="D69" s="8" t="s">
        <v>225</v>
      </c>
      <c r="E69" s="9" t="str">
        <f t="shared" ref="E69:E102" si="5">CONCATENATE(B69,C69,"_",D69)</f>
        <v>s7q50_overseer</v>
      </c>
      <c r="F69" s="8" t="s">
        <v>2603</v>
      </c>
      <c r="G69" s="8" t="str">
        <f t="shared" si="4"/>
        <v>S7Q50: Ai là người có mặt và theo dõi chung việc vận hành hang ngày của trang trại?</v>
      </c>
      <c r="H69" s="8"/>
      <c r="I69" s="8"/>
      <c r="J69" s="8"/>
      <c r="K69" s="8" t="s">
        <v>40</v>
      </c>
      <c r="L69" s="8" t="s">
        <v>50</v>
      </c>
      <c r="M69" s="8"/>
      <c r="N69" s="8"/>
      <c r="O69" s="8"/>
      <c r="P69" s="8"/>
      <c r="Q69" s="8"/>
      <c r="R69" s="8"/>
      <c r="S69" s="8"/>
    </row>
    <row r="70" spans="1:19" x14ac:dyDescent="0.2">
      <c r="A70" s="4" t="s">
        <v>74</v>
      </c>
      <c r="C70" s="4" t="s">
        <v>43</v>
      </c>
      <c r="E70" s="6"/>
    </row>
    <row r="71" spans="1:19" x14ac:dyDescent="0.2">
      <c r="A71" s="26" t="s">
        <v>41</v>
      </c>
      <c r="B71" s="26" t="s">
        <v>226</v>
      </c>
      <c r="C71" s="26" t="s">
        <v>43</v>
      </c>
      <c r="D71" s="26" t="s">
        <v>227</v>
      </c>
      <c r="E71" s="12" t="str">
        <f t="shared" si="5"/>
        <v>s8_grp_amu_perceptions</v>
      </c>
      <c r="F71" s="26" t="s">
        <v>228</v>
      </c>
      <c r="G71" s="12" t="str">
        <f t="shared" ref="G71:G76" si="6">CONCATENATE(UPPER(B71),UPPER(C71),": ",F71)</f>
        <v>S8: Nhận thức liên quan đến sử dụng kháng sinh-AMU</v>
      </c>
      <c r="H71" s="26"/>
      <c r="I71" s="26"/>
      <c r="J71" s="26"/>
      <c r="K71" s="26"/>
      <c r="L71" s="26"/>
      <c r="M71" s="26"/>
      <c r="N71" s="26"/>
      <c r="O71" s="26"/>
      <c r="P71" s="26"/>
      <c r="Q71" s="26"/>
      <c r="R71" s="26"/>
      <c r="S71" s="26"/>
    </row>
    <row r="72" spans="1:19" x14ac:dyDescent="0.2">
      <c r="A72" s="26" t="s">
        <v>229</v>
      </c>
      <c r="B72" s="26" t="s">
        <v>226</v>
      </c>
      <c r="C72" s="26" t="s">
        <v>230</v>
      </c>
      <c r="D72" s="26" t="s">
        <v>231</v>
      </c>
      <c r="E72" s="12" t="str">
        <f t="shared" si="5"/>
        <v>s8q51_ab_main_purpose</v>
      </c>
      <c r="F72" s="26" t="s">
        <v>232</v>
      </c>
      <c r="G72" s="12" t="str">
        <f t="shared" si="6"/>
        <v xml:space="preserve">S8Q51: Ông/bà thấy mục đích chính của việc sử dụng kháng sinh trong chăn nuôi gà là gì?  </v>
      </c>
      <c r="H72" s="26" t="s">
        <v>233</v>
      </c>
      <c r="I72" s="26"/>
      <c r="J72" s="26"/>
      <c r="K72" s="26" t="s">
        <v>40</v>
      </c>
      <c r="L72" s="26" t="s">
        <v>50</v>
      </c>
      <c r="M72" s="26"/>
      <c r="N72" s="26"/>
      <c r="O72" s="26"/>
      <c r="P72" s="26"/>
      <c r="Q72" s="26"/>
      <c r="R72" s="26"/>
      <c r="S72" s="26"/>
    </row>
    <row r="73" spans="1:19" x14ac:dyDescent="0.2">
      <c r="A73" s="26" t="s">
        <v>234</v>
      </c>
      <c r="B73" s="26" t="s">
        <v>226</v>
      </c>
      <c r="C73" s="26" t="s">
        <v>235</v>
      </c>
      <c r="D73" s="26" t="s">
        <v>236</v>
      </c>
      <c r="E73" s="12" t="str">
        <f t="shared" si="5"/>
        <v>s8q52_ab_benefits_poultry</v>
      </c>
      <c r="F73" s="26" t="s">
        <v>237</v>
      </c>
      <c r="G73" s="12" t="str">
        <f t="shared" si="6"/>
        <v xml:space="preserve">S8Q52: Ông/bà có nhận thức về bất cứ lợi ích nào của việc sử dụng kháng sinh trong chăn nuôi gà không? </v>
      </c>
      <c r="H73" s="26" t="s">
        <v>233</v>
      </c>
      <c r="I73" s="26"/>
      <c r="J73" s="26"/>
      <c r="K73" s="26" t="s">
        <v>40</v>
      </c>
      <c r="L73" s="26"/>
      <c r="M73" s="26"/>
      <c r="N73" s="26"/>
      <c r="O73" s="26"/>
      <c r="P73" s="26"/>
      <c r="Q73" s="26"/>
      <c r="R73" s="26"/>
      <c r="S73" s="26"/>
    </row>
    <row r="74" spans="1:19" x14ac:dyDescent="0.2">
      <c r="A74" s="26" t="s">
        <v>67</v>
      </c>
      <c r="B74" s="26" t="s">
        <v>226</v>
      </c>
      <c r="C74" s="26" t="s">
        <v>238</v>
      </c>
      <c r="D74" s="26" t="s">
        <v>239</v>
      </c>
      <c r="E74" s="12" t="str">
        <f t="shared" si="5"/>
        <v>s8q53_is_ab_problems_poultry</v>
      </c>
      <c r="F74" s="26" t="s">
        <v>240</v>
      </c>
      <c r="G74" s="12" t="str">
        <f t="shared" si="6"/>
        <v xml:space="preserve">S8Q53: Có bất kỳ nhược điểm hoặc vấn đề nào về việc sử dụng kháng sinh trong chăn nuôi gà không? </v>
      </c>
      <c r="H74" s="26"/>
      <c r="I74" s="26"/>
      <c r="J74" s="26"/>
      <c r="K74" s="26" t="s">
        <v>40</v>
      </c>
      <c r="L74" s="26" t="s">
        <v>50</v>
      </c>
      <c r="M74" s="26"/>
      <c r="N74" s="26"/>
      <c r="O74" s="26"/>
      <c r="P74" s="26"/>
      <c r="Q74" s="26"/>
      <c r="R74" s="26"/>
      <c r="S74" s="26"/>
    </row>
    <row r="75" spans="1:19" x14ac:dyDescent="0.2">
      <c r="A75" s="26" t="s">
        <v>241</v>
      </c>
      <c r="B75" s="26" t="s">
        <v>226</v>
      </c>
      <c r="C75" s="26" t="s">
        <v>242</v>
      </c>
      <c r="D75" s="26" t="s">
        <v>243</v>
      </c>
      <c r="E75" s="12" t="str">
        <f t="shared" si="5"/>
        <v>s8q54_ab_problems_poultry</v>
      </c>
      <c r="F75" s="26" t="s">
        <v>244</v>
      </c>
      <c r="G75" s="12" t="str">
        <f t="shared" si="6"/>
        <v>S8Q54: Các nhược điểm hoặc vấn đề là gì?</v>
      </c>
      <c r="H75" s="26"/>
      <c r="I75" s="26"/>
      <c r="J75" s="26"/>
      <c r="K75" s="26" t="s">
        <v>40</v>
      </c>
      <c r="L75" s="26"/>
      <c r="M75" s="26" t="str">
        <f>CONCATENATE("selected(${",E74,"},'yes')")</f>
        <v>selected(${s8q53_is_ab_problems_poultry},'yes')</v>
      </c>
      <c r="N75" s="26"/>
      <c r="O75" s="26"/>
      <c r="P75" s="26"/>
      <c r="Q75" s="26"/>
      <c r="R75" s="26"/>
      <c r="S75" s="26"/>
    </row>
    <row r="76" spans="1:19" x14ac:dyDescent="0.2">
      <c r="A76" s="26" t="s">
        <v>245</v>
      </c>
      <c r="B76" s="26" t="s">
        <v>226</v>
      </c>
      <c r="C76" s="26" t="s">
        <v>246</v>
      </c>
      <c r="D76" s="26" t="s">
        <v>247</v>
      </c>
      <c r="E76" s="12" t="str">
        <f t="shared" si="5"/>
        <v>s8q55_ab_problem_source</v>
      </c>
      <c r="F76" s="26" t="s">
        <v>248</v>
      </c>
      <c r="G76" s="12" t="str">
        <f t="shared" si="6"/>
        <v xml:space="preserve">S8Q55: Ông/bà nghe thấy các vấn đề đó ở đâu? </v>
      </c>
      <c r="H76" s="26"/>
      <c r="I76" s="26"/>
      <c r="J76" s="26"/>
      <c r="K76" s="26" t="s">
        <v>40</v>
      </c>
      <c r="L76" s="26"/>
      <c r="M76" s="26" t="str">
        <f>CONCATENATE("selected(${",E75,"},'unhealthy_meat') or selected(${",E75,"},'danger2health') or selected(${",E75,"},'lead2resistance')")</f>
        <v>selected(${s8q54_ab_problems_poultry},'unhealthy_meat') or selected(${s8q54_ab_problems_poultry},'danger2health') or selected(${s8q54_ab_problems_poultry},'lead2resistance')</v>
      </c>
      <c r="N76" s="26"/>
      <c r="O76" s="26"/>
      <c r="P76" s="26"/>
      <c r="Q76" s="26"/>
      <c r="R76" s="26"/>
      <c r="S76" s="26"/>
    </row>
    <row r="77" spans="1:19" x14ac:dyDescent="0.2">
      <c r="A77" s="4" t="s">
        <v>74</v>
      </c>
      <c r="C77" s="4" t="s">
        <v>43</v>
      </c>
      <c r="E77" s="6"/>
    </row>
    <row r="78" spans="1:19" x14ac:dyDescent="0.2">
      <c r="A78" s="27" t="s">
        <v>74</v>
      </c>
      <c r="B78" s="27"/>
      <c r="C78" s="27" t="s">
        <v>43</v>
      </c>
      <c r="D78" s="27"/>
      <c r="E78" s="28"/>
      <c r="F78" s="27"/>
      <c r="G78" s="27"/>
      <c r="H78" s="27"/>
      <c r="I78" s="27"/>
      <c r="J78" s="27"/>
      <c r="K78" s="27"/>
      <c r="L78" s="27"/>
      <c r="M78" s="27"/>
      <c r="N78" s="27"/>
      <c r="O78" s="27"/>
      <c r="P78" s="27"/>
      <c r="Q78" s="27"/>
      <c r="R78" s="27"/>
      <c r="S78" s="27"/>
    </row>
    <row r="79" spans="1:19" x14ac:dyDescent="0.2">
      <c r="A79" s="29" t="s">
        <v>41</v>
      </c>
      <c r="B79" s="29" t="s">
        <v>249</v>
      </c>
      <c r="C79" s="29" t="s">
        <v>43</v>
      </c>
      <c r="D79" s="29" t="s">
        <v>250</v>
      </c>
      <c r="E79" s="30" t="str">
        <f t="shared" si="5"/>
        <v>s9_grp_manager</v>
      </c>
      <c r="F79" s="29" t="s">
        <v>2604</v>
      </c>
      <c r="G79" s="29" t="str">
        <f t="shared" ref="G79:G84" si="7">CONCATENATE(UPPER(B79),UPPER(C79),": ",F79)</f>
        <v>S9: Phỏng vấn quản lý của trại</v>
      </c>
      <c r="H79" s="29"/>
      <c r="I79" s="29"/>
      <c r="J79" s="29"/>
      <c r="K79" s="29"/>
      <c r="L79" s="29"/>
      <c r="M79" s="29" t="str">
        <f>CONCATENATE("selected(${",E17,"},'manager')")</f>
        <v>selected(${s2q14_respondent_type},'manager')</v>
      </c>
      <c r="N79" s="29"/>
      <c r="O79" s="29"/>
      <c r="P79" s="29"/>
      <c r="Q79" s="29"/>
      <c r="R79" s="29"/>
      <c r="S79" s="29"/>
    </row>
    <row r="80" spans="1:19" x14ac:dyDescent="0.2">
      <c r="A80" s="14" t="s">
        <v>41</v>
      </c>
      <c r="B80" s="77" t="s">
        <v>249</v>
      </c>
      <c r="C80" s="14" t="s">
        <v>43</v>
      </c>
      <c r="D80" s="14" t="s">
        <v>251</v>
      </c>
      <c r="E80" s="15" t="str">
        <f t="shared" si="5"/>
        <v>s9_grp_manager_coversheet</v>
      </c>
      <c r="F80" s="14" t="s">
        <v>2605</v>
      </c>
      <c r="G80" s="14" t="str">
        <f t="shared" si="7"/>
        <v>S9: Người quản lý trại – Nhân khẩu</v>
      </c>
      <c r="H80" s="14"/>
      <c r="I80" s="14"/>
      <c r="J80" s="14"/>
      <c r="K80" s="14"/>
      <c r="L80" s="14"/>
      <c r="M80" s="14"/>
      <c r="N80" s="14"/>
      <c r="O80" s="14"/>
      <c r="P80" s="14"/>
      <c r="Q80" s="14"/>
      <c r="R80" s="14"/>
      <c r="S80" s="14"/>
    </row>
    <row r="81" spans="1:19" x14ac:dyDescent="0.2">
      <c r="A81" s="14" t="s">
        <v>84</v>
      </c>
      <c r="B81" s="77" t="s">
        <v>249</v>
      </c>
      <c r="C81" s="14" t="s">
        <v>252</v>
      </c>
      <c r="D81" s="14" t="s">
        <v>86</v>
      </c>
      <c r="E81" s="15" t="str">
        <f t="shared" si="5"/>
        <v>s9q56_gender</v>
      </c>
      <c r="F81" s="14" t="s">
        <v>2606</v>
      </c>
      <c r="G81" s="14" t="str">
        <f t="shared" si="7"/>
        <v>S9Q56: Giới tính của người quản lý</v>
      </c>
      <c r="H81" s="14"/>
      <c r="I81" s="14"/>
      <c r="J81" s="14"/>
      <c r="K81" s="14" t="s">
        <v>40</v>
      </c>
      <c r="L81" s="14" t="s">
        <v>50</v>
      </c>
      <c r="M81" s="14"/>
      <c r="N81" s="14"/>
      <c r="O81" s="14"/>
      <c r="P81" s="14"/>
      <c r="Q81" s="14"/>
      <c r="R81" s="14"/>
      <c r="S81" s="14"/>
    </row>
    <row r="82" spans="1:19" x14ac:dyDescent="0.2">
      <c r="A82" s="14" t="s">
        <v>88</v>
      </c>
      <c r="B82" s="77" t="s">
        <v>249</v>
      </c>
      <c r="C82" s="14" t="s">
        <v>253</v>
      </c>
      <c r="D82" s="14" t="s">
        <v>90</v>
      </c>
      <c r="E82" s="15" t="str">
        <f t="shared" si="5"/>
        <v>s9q57_yob</v>
      </c>
      <c r="F82" s="14" t="s">
        <v>2607</v>
      </c>
      <c r="G82" s="14" t="str">
        <f t="shared" si="7"/>
        <v>S9Q57: Năm sinh của người quản lý</v>
      </c>
      <c r="H82" s="14"/>
      <c r="I82" s="14" t="s">
        <v>92</v>
      </c>
      <c r="J82" s="14" t="s">
        <v>93</v>
      </c>
      <c r="K82" s="14" t="s">
        <v>40</v>
      </c>
      <c r="L82" s="14" t="s">
        <v>94</v>
      </c>
      <c r="M82" s="14"/>
      <c r="N82" s="14"/>
      <c r="O82" s="14"/>
      <c r="P82" s="14"/>
      <c r="Q82" s="14"/>
      <c r="R82" s="14"/>
      <c r="S82" s="14"/>
    </row>
    <row r="83" spans="1:19" ht="13.15" customHeight="1" x14ac:dyDescent="0.2">
      <c r="A83" s="14" t="s">
        <v>99</v>
      </c>
      <c r="B83" s="77" t="s">
        <v>249</v>
      </c>
      <c r="C83" s="14" t="s">
        <v>254</v>
      </c>
      <c r="D83" s="14" t="s">
        <v>255</v>
      </c>
      <c r="E83" s="15" t="str">
        <f t="shared" si="5"/>
        <v>s9q58_education</v>
      </c>
      <c r="F83" s="14" t="s">
        <v>102</v>
      </c>
      <c r="G83" s="14" t="str">
        <f t="shared" si="7"/>
        <v>S9Q58: Trình độ học vấn của ông/bà?</v>
      </c>
      <c r="H83" s="14"/>
      <c r="I83" s="14"/>
      <c r="J83" s="14"/>
      <c r="K83" s="14" t="s">
        <v>40</v>
      </c>
      <c r="L83" s="14" t="s">
        <v>50</v>
      </c>
      <c r="M83" s="14"/>
      <c r="N83" s="14"/>
      <c r="O83" s="14"/>
      <c r="P83" s="14"/>
      <c r="Q83" s="14"/>
      <c r="R83" s="14"/>
      <c r="S83" s="14"/>
    </row>
    <row r="84" spans="1:19" x14ac:dyDescent="0.2">
      <c r="A84" s="14" t="s">
        <v>111</v>
      </c>
      <c r="B84" s="77" t="s">
        <v>249</v>
      </c>
      <c r="C84" s="14" t="s">
        <v>256</v>
      </c>
      <c r="D84" s="14" t="s">
        <v>257</v>
      </c>
      <c r="E84" s="15" t="str">
        <f t="shared" si="5"/>
        <v>s9q59_exp_manager_yrs</v>
      </c>
      <c r="F84" s="14" t="s">
        <v>2608</v>
      </c>
      <c r="G84" s="14" t="str">
        <f t="shared" si="7"/>
        <v>S9Q59: Ông/bà đã làm công việc quản lý/chăn nuôi gà thịt được bao nhiêu năm ?</v>
      </c>
      <c r="H84" s="14"/>
      <c r="I84" s="14" t="s">
        <v>184</v>
      </c>
      <c r="J84" s="14"/>
      <c r="K84" s="14" t="s">
        <v>40</v>
      </c>
      <c r="L84" s="14"/>
      <c r="M84" s="14"/>
      <c r="N84" s="14"/>
      <c r="O84" s="14"/>
      <c r="P84" s="14"/>
      <c r="Q84" s="14"/>
      <c r="R84" s="14"/>
      <c r="S84" s="14"/>
    </row>
    <row r="85" spans="1:19" x14ac:dyDescent="0.2">
      <c r="A85" s="4" t="s">
        <v>74</v>
      </c>
      <c r="C85" s="4" t="s">
        <v>43</v>
      </c>
      <c r="E85" s="6"/>
    </row>
    <row r="86" spans="1:19" x14ac:dyDescent="0.2">
      <c r="A86" s="16" t="s">
        <v>41</v>
      </c>
      <c r="B86" s="16" t="s">
        <v>258</v>
      </c>
      <c r="C86" s="16" t="s">
        <v>43</v>
      </c>
      <c r="D86" s="16" t="s">
        <v>259</v>
      </c>
      <c r="E86" s="17" t="str">
        <f t="shared" si="5"/>
        <v>s10_grp_manager_decisions</v>
      </c>
      <c r="F86" s="16" t="s">
        <v>2609</v>
      </c>
      <c r="G86" s="16" t="str">
        <f>CONCATENATE(UPPER(B86),UPPER(C86),": ",F86)</f>
        <v>S10: Người quản lý ra quyết định</v>
      </c>
      <c r="H86" s="16"/>
      <c r="I86" s="16"/>
      <c r="J86" s="16"/>
      <c r="K86" s="16"/>
      <c r="L86" s="16"/>
      <c r="M86" s="16"/>
      <c r="N86" s="16"/>
      <c r="O86" s="16"/>
      <c r="P86" s="16"/>
      <c r="Q86" s="16"/>
      <c r="R86" s="16"/>
      <c r="S86" s="16"/>
    </row>
    <row r="87" spans="1:19" x14ac:dyDescent="0.2">
      <c r="A87" s="16" t="s">
        <v>67</v>
      </c>
      <c r="B87" s="16" t="s">
        <v>258</v>
      </c>
      <c r="C87" s="16" t="s">
        <v>260</v>
      </c>
      <c r="D87" s="16" t="s">
        <v>261</v>
      </c>
      <c r="E87" s="17" t="str">
        <f t="shared" si="5"/>
        <v>s10q60_is_decide_restocking</v>
      </c>
      <c r="F87" s="16" t="s">
        <v>262</v>
      </c>
      <c r="G87" s="16" t="str">
        <f>CONCATENATE(UPPER(B87),UPPER(C87),": ",F87)</f>
        <v>S10Q60: Ông/bà có tham gia vào việc đưa ra quyết định về &lt;span style='color:blue;'&gt;tái đàn&lt;/span&gt;?</v>
      </c>
      <c r="H87" s="16"/>
      <c r="I87" s="16"/>
      <c r="J87" s="16"/>
      <c r="K87" s="16" t="s">
        <v>40</v>
      </c>
      <c r="L87" s="16" t="s">
        <v>50</v>
      </c>
      <c r="M87" s="16"/>
      <c r="N87" s="16"/>
      <c r="O87" s="16"/>
      <c r="P87" s="16"/>
      <c r="Q87" s="16"/>
      <c r="R87" s="16"/>
      <c r="S87" s="16"/>
    </row>
    <row r="88" spans="1:19" x14ac:dyDescent="0.2">
      <c r="A88" s="16" t="s">
        <v>67</v>
      </c>
      <c r="B88" s="16" t="s">
        <v>258</v>
      </c>
      <c r="C88" s="16" t="s">
        <v>263</v>
      </c>
      <c r="D88" s="16" t="s">
        <v>264</v>
      </c>
      <c r="E88" s="17" t="str">
        <f t="shared" si="5"/>
        <v>s10q61_is_decide_feed_purchase</v>
      </c>
      <c r="F88" s="16" t="s">
        <v>265</v>
      </c>
      <c r="G88" s="16" t="str">
        <f>CONCATENATE(UPPER(B88),UPPER(C88),": ",F88)</f>
        <v>S10Q61: Ông/bà có tham gia vào việc đưa ra quyết định về  &lt;span style='color:blue;'&gt;mua loại thức ăn sử dụng&lt;/span&gt;?</v>
      </c>
      <c r="H88" s="16"/>
      <c r="I88" s="16"/>
      <c r="J88" s="16"/>
      <c r="K88" s="16" t="s">
        <v>40</v>
      </c>
      <c r="L88" s="16" t="s">
        <v>50</v>
      </c>
      <c r="M88" s="16"/>
      <c r="N88" s="16"/>
      <c r="O88" s="16"/>
      <c r="P88" s="16"/>
      <c r="Q88" s="16"/>
      <c r="R88" s="16"/>
      <c r="S88" s="16"/>
    </row>
    <row r="89" spans="1:19" x14ac:dyDescent="0.2">
      <c r="A89" s="16" t="s">
        <v>67</v>
      </c>
      <c r="B89" s="16" t="s">
        <v>258</v>
      </c>
      <c r="C89" s="16" t="s">
        <v>266</v>
      </c>
      <c r="D89" s="16" t="s">
        <v>267</v>
      </c>
      <c r="E89" s="17" t="str">
        <f t="shared" si="5"/>
        <v>s10q62_is_decide_med_purchase</v>
      </c>
      <c r="F89" s="16" t="s">
        <v>268</v>
      </c>
      <c r="G89" s="16" t="str">
        <f>CONCATENATE(UPPER(B89),UPPER(C89),": ",F89)</f>
        <v>S10Q62: Ông/bà có tham gia vào việc đưa ra quyết định về&lt;span style='color:blue;'&gt;mua loại thuốc để dùng&lt;/span&gt;?</v>
      </c>
      <c r="H89" s="16"/>
      <c r="I89" s="16"/>
      <c r="J89" s="16"/>
      <c r="K89" s="16" t="s">
        <v>40</v>
      </c>
      <c r="L89" s="16" t="s">
        <v>50</v>
      </c>
      <c r="M89" s="16"/>
      <c r="N89" s="16"/>
      <c r="O89" s="16"/>
      <c r="P89" s="16"/>
      <c r="Q89" s="16"/>
      <c r="R89" s="16"/>
      <c r="S89" s="16"/>
    </row>
    <row r="90" spans="1:19" x14ac:dyDescent="0.2">
      <c r="A90" s="16" t="s">
        <v>67</v>
      </c>
      <c r="B90" s="16" t="s">
        <v>258</v>
      </c>
      <c r="C90" s="16" t="s">
        <v>269</v>
      </c>
      <c r="D90" s="16" t="s">
        <v>270</v>
      </c>
      <c r="E90" s="17" t="str">
        <f t="shared" si="5"/>
        <v>s10q63_is_decide_selling</v>
      </c>
      <c r="F90" s="16" t="s">
        <v>2610</v>
      </c>
      <c r="G90" s="16" t="str">
        <f>CONCATENATE(UPPER(B90),UPPER(C90),": ",F90)</f>
        <v>S10Q63: Ông/bà có tham gia vào việc đưa ra quyết định về &lt;span style='color:blue;'&gt;thời điểm khi nào thì bán gà&lt;/span&gt;?</v>
      </c>
      <c r="H90" s="16"/>
      <c r="I90" s="16"/>
      <c r="J90" s="16"/>
      <c r="K90" s="16" t="s">
        <v>40</v>
      </c>
      <c r="L90" s="16" t="s">
        <v>50</v>
      </c>
      <c r="M90" s="16"/>
      <c r="N90" s="16"/>
      <c r="O90" s="16"/>
      <c r="P90" s="16"/>
      <c r="Q90" s="16"/>
      <c r="R90" s="16"/>
      <c r="S90" s="16"/>
    </row>
    <row r="91" spans="1:19" x14ac:dyDescent="0.2">
      <c r="A91" s="4" t="s">
        <v>74</v>
      </c>
      <c r="C91" s="4" t="s">
        <v>43</v>
      </c>
      <c r="E91" s="6"/>
    </row>
    <row r="92" spans="1:19" x14ac:dyDescent="0.2">
      <c r="A92" s="21" t="s">
        <v>67</v>
      </c>
      <c r="B92" s="21" t="s">
        <v>271</v>
      </c>
      <c r="C92" s="21" t="s">
        <v>272</v>
      </c>
      <c r="D92" s="21" t="s">
        <v>273</v>
      </c>
      <c r="E92" s="22" t="str">
        <f t="shared" si="5"/>
        <v>s11q64_is_trained</v>
      </c>
      <c r="F92" s="21" t="s">
        <v>118</v>
      </c>
      <c r="G92" s="21" t="str">
        <f>CONCATENATE(UPPER(B92),UPPER(C92),": ",F92)</f>
        <v>S11Q64: Ông/bà đã từng tham dự khóa tập huấn về chăn nuôi gà/gia cầm, hay về phòng chống dịch bệnh trên đàn gia cầm bao giờ chưa?</v>
      </c>
      <c r="H92" s="21"/>
      <c r="I92" s="21"/>
      <c r="J92" s="21"/>
      <c r="K92" s="21" t="s">
        <v>40</v>
      </c>
      <c r="L92" s="21" t="s">
        <v>50</v>
      </c>
      <c r="M92" s="21"/>
      <c r="N92" s="21"/>
      <c r="O92" s="21"/>
      <c r="P92" s="21"/>
      <c r="Q92" s="21"/>
      <c r="R92" s="21"/>
      <c r="S92" s="21"/>
    </row>
    <row r="93" spans="1:19" x14ac:dyDescent="0.2">
      <c r="A93" s="21" t="s">
        <v>274</v>
      </c>
      <c r="B93" s="21" t="s">
        <v>271</v>
      </c>
      <c r="C93" s="21" t="s">
        <v>275</v>
      </c>
      <c r="D93" s="21" t="s">
        <v>276</v>
      </c>
      <c r="E93" s="22" t="str">
        <f t="shared" si="5"/>
        <v>s11q65_training_type</v>
      </c>
      <c r="F93" s="21" t="s">
        <v>122</v>
      </c>
      <c r="G93" s="21" t="str">
        <f>CONCATENATE(UPPER(B93),UPPER(C93),": ",F93)</f>
        <v>S11Q65: Đó là loại hình khóa tập huấn gì? (Lựa chọn nhiều đáp án)</v>
      </c>
      <c r="H93" s="21"/>
      <c r="I93" s="21"/>
      <c r="J93" s="21"/>
      <c r="K93" s="21" t="s">
        <v>40</v>
      </c>
      <c r="L93" s="21"/>
      <c r="M93" s="21" t="str">
        <f>CONCATENATE("selected(${",E92,"},'yes')")</f>
        <v>selected(${s11q64_is_trained},'yes')</v>
      </c>
      <c r="N93" s="21"/>
      <c r="O93" s="21"/>
      <c r="P93" s="21"/>
      <c r="Q93" s="21"/>
      <c r="R93" s="21"/>
      <c r="S93" s="21"/>
    </row>
    <row r="94" spans="1:19" x14ac:dyDescent="0.2">
      <c r="A94" s="21" t="s">
        <v>123</v>
      </c>
      <c r="B94" s="21" t="s">
        <v>271</v>
      </c>
      <c r="C94" s="21" t="s">
        <v>43</v>
      </c>
      <c r="D94" s="21" t="s">
        <v>277</v>
      </c>
      <c r="E94" s="22" t="str">
        <f t="shared" si="5"/>
        <v>s11_rpt_training</v>
      </c>
      <c r="F94" s="21" t="s">
        <v>126</v>
      </c>
      <c r="G94" s="21" t="str">
        <f t="shared" ref="G94:G102" si="8">CONCATENATE(UPPER(B94),UPPER(C94),": ",F94)</f>
        <v>S11: Tập huấn</v>
      </c>
      <c r="H94" s="21"/>
      <c r="I94" s="21"/>
      <c r="J94" s="21"/>
      <c r="K94" s="21"/>
      <c r="L94" s="21"/>
      <c r="M94" s="21" t="str">
        <f>CONCATENATE("selected(${",E92,"},'yes')")</f>
        <v>selected(${s11q64_is_trained},'yes')</v>
      </c>
      <c r="N94" s="21"/>
      <c r="O94" s="31" t="str">
        <f>CONCATENATE("count-selected(${",E93,"})")</f>
        <v>count-selected(${s11q65_training_type})</v>
      </c>
      <c r="P94" s="21"/>
      <c r="Q94" s="21"/>
      <c r="R94" s="21"/>
      <c r="S94" s="21"/>
    </row>
    <row r="95" spans="1:19" x14ac:dyDescent="0.2">
      <c r="A95" s="21" t="s">
        <v>127</v>
      </c>
      <c r="B95" s="21" t="s">
        <v>271</v>
      </c>
      <c r="C95" s="21" t="s">
        <v>128</v>
      </c>
      <c r="D95" s="21" t="s">
        <v>129</v>
      </c>
      <c r="E95" s="22" t="str">
        <f t="shared" si="5"/>
        <v>s11c1_cur_training</v>
      </c>
      <c r="F95" s="21"/>
      <c r="G95" s="21"/>
      <c r="H95" s="21"/>
      <c r="I95" s="21"/>
      <c r="J95" s="21"/>
      <c r="K95" s="21"/>
      <c r="L95" s="21"/>
      <c r="M95" s="21"/>
      <c r="N95" s="21"/>
      <c r="O95" s="21"/>
      <c r="P95" s="18" t="str">
        <f>CONCATENATE("selected-at(${",E93,"}, position(..)-1)")</f>
        <v>selected-at(${s11q65_training_type}, position(..)-1)</v>
      </c>
      <c r="Q95" s="21"/>
      <c r="R95" s="21"/>
      <c r="S95" s="21"/>
    </row>
    <row r="96" spans="1:19" x14ac:dyDescent="0.2">
      <c r="A96" s="21" t="s">
        <v>127</v>
      </c>
      <c r="B96" s="21" t="s">
        <v>271</v>
      </c>
      <c r="C96" s="21" t="s">
        <v>130</v>
      </c>
      <c r="D96" s="21" t="s">
        <v>131</v>
      </c>
      <c r="E96" s="22" t="str">
        <f t="shared" si="5"/>
        <v>s11c2_cur_training_name</v>
      </c>
      <c r="F96" s="21"/>
      <c r="G96" s="21"/>
      <c r="H96" s="21"/>
      <c r="I96" s="21"/>
      <c r="J96" s="21"/>
      <c r="K96" s="21"/>
      <c r="L96" s="21"/>
      <c r="M96" s="21"/>
      <c r="N96" s="21"/>
      <c r="O96" s="21"/>
      <c r="P96" s="18" t="str">
        <f>CONCATENATE("if(string-length(../",E95,") != 0,jr:choice-name(${",E95,"},'${",E93,"}'),'unknown')")</f>
        <v>if(string-length(../s11c1_cur_training) != 0,jr:choice-name(${s11c1_cur_training},'${s11q65_training_type}'),'unknown')</v>
      </c>
      <c r="Q96" s="21"/>
      <c r="R96" s="21"/>
      <c r="S96" s="21"/>
    </row>
    <row r="97" spans="1:19" x14ac:dyDescent="0.2">
      <c r="A97" s="21" t="s">
        <v>41</v>
      </c>
      <c r="B97" s="21" t="s">
        <v>271</v>
      </c>
      <c r="C97" s="21" t="s">
        <v>43</v>
      </c>
      <c r="D97" s="21" t="s">
        <v>278</v>
      </c>
      <c r="E97" s="22" t="str">
        <f>CONCATENATE(B97,C97,"_",D97)</f>
        <v>s11_grp_details</v>
      </c>
      <c r="F97" s="21" t="s">
        <v>2611</v>
      </c>
      <c r="G97" s="21" t="str">
        <f>CONCATENATE(UPPER(B97),UPPER(C97),": ",F97)</f>
        <v>S11: Cụ thể về phần tập huấn</v>
      </c>
      <c r="H97" s="21"/>
      <c r="I97" s="21"/>
      <c r="J97" s="21"/>
      <c r="K97" s="21"/>
      <c r="L97" s="21"/>
      <c r="M97" s="21"/>
      <c r="N97" s="21"/>
      <c r="O97" s="21"/>
      <c r="P97" s="21"/>
      <c r="Q97" s="21"/>
      <c r="R97" s="21"/>
      <c r="S97" s="21"/>
    </row>
    <row r="98" spans="1:19" x14ac:dyDescent="0.2">
      <c r="A98" s="21" t="s">
        <v>134</v>
      </c>
      <c r="B98" s="21" t="s">
        <v>271</v>
      </c>
      <c r="C98" s="21" t="s">
        <v>279</v>
      </c>
      <c r="D98" s="21" t="s">
        <v>280</v>
      </c>
      <c r="E98" s="22" t="str">
        <f t="shared" si="5"/>
        <v>s11q66_year_complete</v>
      </c>
      <c r="F98" s="21" t="str">
        <f>CONCATENATE("&lt;span style='color:blue;'&gt;${",E96,"}&lt;/span&gt;:Ông/bà đã hoàn thành khóa tập huấn vào năm nào?")</f>
        <v>&lt;span style='color:blue;'&gt;${s11c2_cur_training_name}&lt;/span&gt;:Ông/bà đã hoàn thành khóa tập huấn vào năm nào?</v>
      </c>
      <c r="G98" s="21" t="str">
        <f t="shared" si="8"/>
        <v>S11Q66: &lt;span style='color:blue;'&gt;${s11c2_cur_training_name}&lt;/span&gt;:Ông/bà đã hoàn thành khóa tập huấn vào năm nào?</v>
      </c>
      <c r="H98" s="21"/>
      <c r="I98" s="21"/>
      <c r="J98" s="21"/>
      <c r="K98" s="21" t="s">
        <v>40</v>
      </c>
      <c r="L98" s="21" t="s">
        <v>94</v>
      </c>
      <c r="M98" s="21"/>
      <c r="N98" s="21"/>
      <c r="O98" s="21"/>
      <c r="P98" s="21"/>
      <c r="Q98" s="21"/>
      <c r="R98" s="21"/>
      <c r="S98" s="21"/>
    </row>
    <row r="99" spans="1:19" x14ac:dyDescent="0.2">
      <c r="A99" s="21" t="s">
        <v>136</v>
      </c>
      <c r="B99" s="21" t="s">
        <v>271</v>
      </c>
      <c r="C99" s="21" t="s">
        <v>281</v>
      </c>
      <c r="D99" s="21"/>
      <c r="E99" s="22" t="str">
        <f t="shared" si="5"/>
        <v>s11q67_</v>
      </c>
      <c r="F99" s="21" t="str">
        <f>CONCATENATE("&lt;span style='color:blue;'&gt;${",E96,"}&lt;/span&gt;:Ông/bà được tập huấn về nội dung gì?")</f>
        <v>&lt;span style='color:blue;'&gt;${s11c2_cur_training_name}&lt;/span&gt;:Ông/bà được tập huấn về nội dung gì?</v>
      </c>
      <c r="G99" s="21" t="str">
        <f t="shared" si="8"/>
        <v>S11Q67: &lt;span style='color:blue;'&gt;${s11c2_cur_training_name}&lt;/span&gt;:Ông/bà được tập huấn về nội dung gì?</v>
      </c>
      <c r="H99" s="21"/>
      <c r="I99" s="21"/>
      <c r="J99" s="21"/>
      <c r="K99" s="21" t="s">
        <v>40</v>
      </c>
      <c r="L99" s="21"/>
      <c r="M99" s="21"/>
      <c r="N99" s="21"/>
      <c r="O99" s="21"/>
      <c r="P99" s="21"/>
      <c r="Q99" s="21"/>
      <c r="R99" s="21"/>
      <c r="S99" s="21"/>
    </row>
    <row r="100" spans="1:19" x14ac:dyDescent="0.2">
      <c r="A100" s="21" t="s">
        <v>139</v>
      </c>
      <c r="B100" s="21" t="s">
        <v>271</v>
      </c>
      <c r="C100" s="21" t="s">
        <v>282</v>
      </c>
      <c r="D100" s="21"/>
      <c r="E100" s="22" t="str">
        <f t="shared" si="5"/>
        <v>s11q68_</v>
      </c>
      <c r="F100" s="21" t="str">
        <f>CONCATENATE("&lt;span style='color:blue;'&gt;${",E96,"}&lt;/span&gt;:Ai là người tổ chức chương trình tập huấn này? (Lựa chọn nhiều đáp án)")</f>
        <v>&lt;span style='color:blue;'&gt;${s11c2_cur_training_name}&lt;/span&gt;:Ai là người tổ chức chương trình tập huấn này? (Lựa chọn nhiều đáp án)</v>
      </c>
      <c r="G100" s="21" t="str">
        <f t="shared" si="8"/>
        <v>S11Q68: &lt;span style='color:blue;'&gt;${s11c2_cur_training_name}&lt;/span&gt;:Ai là người tổ chức chương trình tập huấn này? (Lựa chọn nhiều đáp án)</v>
      </c>
      <c r="H100" s="21"/>
      <c r="I100" s="21"/>
      <c r="J100" s="21"/>
      <c r="K100" s="21" t="s">
        <v>40</v>
      </c>
      <c r="L100" s="21"/>
      <c r="M100" s="21"/>
      <c r="N100" s="21"/>
      <c r="O100" s="21"/>
      <c r="P100" s="21"/>
      <c r="Q100" s="21"/>
      <c r="R100" s="21"/>
      <c r="S100" s="21"/>
    </row>
    <row r="101" spans="1:19" x14ac:dyDescent="0.2">
      <c r="A101" s="21" t="s">
        <v>67</v>
      </c>
      <c r="B101" s="21" t="s">
        <v>271</v>
      </c>
      <c r="C101" s="21" t="s">
        <v>283</v>
      </c>
      <c r="D101" s="21" t="s">
        <v>143</v>
      </c>
      <c r="E101" s="22" t="str">
        <f t="shared" si="5"/>
        <v>s11q69_is_change_practice</v>
      </c>
      <c r="F101" s="21" t="str">
        <f>CONCATENATE("&lt;span style='color:blue;'&gt;${",E96,"}&lt;/span&gt;:Sau khi được tập huấn, ông/bà có thay đổi gì trong các hoạt động của trại không?")</f>
        <v>&lt;span style='color:blue;'&gt;${s11c2_cur_training_name}&lt;/span&gt;:Sau khi được tập huấn, ông/bà có thay đổi gì trong các hoạt động của trại không?</v>
      </c>
      <c r="G101" s="21" t="str">
        <f t="shared" si="8"/>
        <v>S11Q69: &lt;span style='color:blue;'&gt;${s11c2_cur_training_name}&lt;/span&gt;:Sau khi được tập huấn, ông/bà có thay đổi gì trong các hoạt động của trại không?</v>
      </c>
      <c r="H101" s="21"/>
      <c r="I101" s="21"/>
      <c r="J101" s="21"/>
      <c r="K101" s="21" t="s">
        <v>40</v>
      </c>
      <c r="L101" s="21" t="s">
        <v>50</v>
      </c>
      <c r="M101" s="21"/>
      <c r="N101" s="21"/>
      <c r="O101" s="21"/>
      <c r="P101" s="21"/>
      <c r="Q101" s="21"/>
      <c r="R101" s="21"/>
      <c r="S101" s="21"/>
    </row>
    <row r="102" spans="1:19" x14ac:dyDescent="0.2">
      <c r="A102" s="21" t="s">
        <v>144</v>
      </c>
      <c r="B102" s="21" t="s">
        <v>271</v>
      </c>
      <c r="C102" s="21" t="s">
        <v>284</v>
      </c>
      <c r="D102" s="21" t="s">
        <v>146</v>
      </c>
      <c r="E102" s="22" t="str">
        <f t="shared" si="5"/>
        <v>s11q70_what_changed</v>
      </c>
      <c r="F102" s="21" t="str">
        <f>CONCATENATE("&lt;span style='color:blue;'&gt;${",E96,"}&lt;/span&gt;:Ông/bà đã thay đổi việc gì?")</f>
        <v>&lt;span style='color:blue;'&gt;${s11c2_cur_training_name}&lt;/span&gt;:Ông/bà đã thay đổi việc gì?</v>
      </c>
      <c r="G102" s="21" t="str">
        <f t="shared" si="8"/>
        <v>S11Q70: &lt;span style='color:blue;'&gt;${s11c2_cur_training_name}&lt;/span&gt;:Ông/bà đã thay đổi việc gì?</v>
      </c>
      <c r="H102" s="21"/>
      <c r="I102" s="21"/>
      <c r="J102" s="21"/>
      <c r="K102" s="21" t="s">
        <v>40</v>
      </c>
      <c r="L102" s="21"/>
      <c r="M102" s="21" t="str">
        <f>CONCATENATE("selected(${",E101,"},'yes')")</f>
        <v>selected(${s11q69_is_change_practice},'yes')</v>
      </c>
      <c r="N102" s="21"/>
      <c r="O102" s="21"/>
      <c r="P102" s="21"/>
      <c r="Q102" s="21"/>
      <c r="R102" s="21"/>
      <c r="S102" s="21"/>
    </row>
    <row r="103" spans="1:19" x14ac:dyDescent="0.2">
      <c r="A103" s="4" t="s">
        <v>74</v>
      </c>
      <c r="C103" s="4" t="s">
        <v>43</v>
      </c>
      <c r="E103" s="6"/>
    </row>
    <row r="104" spans="1:19" x14ac:dyDescent="0.2">
      <c r="A104" s="4" t="s">
        <v>147</v>
      </c>
      <c r="C104" s="4" t="s">
        <v>43</v>
      </c>
      <c r="E104" s="6"/>
    </row>
    <row r="105" spans="1:19" x14ac:dyDescent="0.2">
      <c r="A105" s="23" t="s">
        <v>41</v>
      </c>
      <c r="B105" s="23" t="s">
        <v>285</v>
      </c>
      <c r="C105" s="23" t="s">
        <v>43</v>
      </c>
      <c r="D105" s="23" t="s">
        <v>227</v>
      </c>
      <c r="E105" s="24" t="str">
        <f t="shared" ref="E105:E110" si="9">CONCATENATE(B105,C105,"_",D105)</f>
        <v>s12_grp_amu_perceptions</v>
      </c>
      <c r="F105" s="23" t="s">
        <v>228</v>
      </c>
      <c r="G105" s="24" t="str">
        <f t="shared" ref="G105:G110" si="10">CONCATENATE(UPPER(B105),UPPER(C105),": ",F105)</f>
        <v>S12: Nhận thức liên quan đến sử dụng kháng sinh-AMU</v>
      </c>
      <c r="H105" s="23"/>
      <c r="I105" s="23"/>
      <c r="J105" s="23"/>
      <c r="K105" s="23"/>
      <c r="L105" s="23"/>
      <c r="M105" s="23"/>
      <c r="N105" s="23"/>
      <c r="O105" s="23"/>
      <c r="P105" s="23"/>
      <c r="Q105" s="23"/>
      <c r="R105" s="23"/>
      <c r="S105" s="23"/>
    </row>
    <row r="106" spans="1:19" x14ac:dyDescent="0.2">
      <c r="A106" s="23" t="s">
        <v>229</v>
      </c>
      <c r="B106" s="23" t="s">
        <v>285</v>
      </c>
      <c r="C106" s="23" t="s">
        <v>286</v>
      </c>
      <c r="D106" s="23" t="s">
        <v>231</v>
      </c>
      <c r="E106" s="24" t="str">
        <f t="shared" si="9"/>
        <v>s12q71_ab_main_purpose</v>
      </c>
      <c r="F106" s="23" t="s">
        <v>2600</v>
      </c>
      <c r="G106" s="24" t="str">
        <f t="shared" si="10"/>
        <v xml:space="preserve">S12Q71: Ông/bà thấy mục đích chính của việc sử dụng kháng sinh trong chăn nuôi gà là gì? </v>
      </c>
      <c r="H106" s="23" t="s">
        <v>233</v>
      </c>
      <c r="I106" s="23"/>
      <c r="J106" s="23"/>
      <c r="K106" s="23" t="s">
        <v>40</v>
      </c>
      <c r="L106" s="23" t="s">
        <v>50</v>
      </c>
      <c r="M106" s="23"/>
      <c r="N106" s="23"/>
      <c r="O106" s="23"/>
      <c r="P106" s="23"/>
      <c r="Q106" s="23"/>
      <c r="R106" s="23"/>
      <c r="S106" s="23"/>
    </row>
    <row r="107" spans="1:19" x14ac:dyDescent="0.2">
      <c r="A107" s="23" t="s">
        <v>234</v>
      </c>
      <c r="B107" s="23" t="s">
        <v>285</v>
      </c>
      <c r="C107" s="23" t="s">
        <v>287</v>
      </c>
      <c r="D107" s="23" t="s">
        <v>236</v>
      </c>
      <c r="E107" s="24" t="str">
        <f t="shared" si="9"/>
        <v>s12q72_ab_benefits_poultry</v>
      </c>
      <c r="F107" s="23" t="s">
        <v>288</v>
      </c>
      <c r="G107" s="24" t="str">
        <f t="shared" si="10"/>
        <v>S12Q72: Ông/bà có nhận thức về bất cứ lợi ích nào của việc sử dụng kháng sinh trong chăn nuôi gà không?</v>
      </c>
      <c r="H107" s="23" t="s">
        <v>233</v>
      </c>
      <c r="I107" s="23"/>
      <c r="J107" s="23"/>
      <c r="K107" s="23" t="s">
        <v>40</v>
      </c>
      <c r="L107" s="23"/>
      <c r="M107" s="23"/>
      <c r="N107" s="23"/>
      <c r="O107" s="23"/>
      <c r="P107" s="23"/>
      <c r="Q107" s="23"/>
      <c r="R107" s="23"/>
      <c r="S107" s="23"/>
    </row>
    <row r="108" spans="1:19" x14ac:dyDescent="0.2">
      <c r="A108" s="23" t="s">
        <v>67</v>
      </c>
      <c r="B108" s="23" t="s">
        <v>285</v>
      </c>
      <c r="C108" s="23" t="s">
        <v>289</v>
      </c>
      <c r="D108" s="23" t="s">
        <v>239</v>
      </c>
      <c r="E108" s="24" t="str">
        <f t="shared" si="9"/>
        <v>s12q73_is_ab_problems_poultry</v>
      </c>
      <c r="F108" s="23" t="s">
        <v>290</v>
      </c>
      <c r="G108" s="24" t="str">
        <f t="shared" si="10"/>
        <v>S12Q73: Có bất kỳ nhược điểm hoặc vấn đề nào về việc sử dụng kháng sinh trong chăn nuôi gà không?</v>
      </c>
      <c r="H108" s="23"/>
      <c r="I108" s="23"/>
      <c r="J108" s="23"/>
      <c r="K108" s="23" t="s">
        <v>40</v>
      </c>
      <c r="L108" s="23" t="s">
        <v>50</v>
      </c>
      <c r="M108" s="23"/>
      <c r="N108" s="23"/>
      <c r="O108" s="23"/>
      <c r="P108" s="23"/>
      <c r="Q108" s="23"/>
      <c r="R108" s="23"/>
      <c r="S108" s="23"/>
    </row>
    <row r="109" spans="1:19" x14ac:dyDescent="0.2">
      <c r="A109" s="23" t="s">
        <v>241</v>
      </c>
      <c r="B109" s="23" t="s">
        <v>285</v>
      </c>
      <c r="C109" s="23" t="s">
        <v>291</v>
      </c>
      <c r="D109" s="23" t="s">
        <v>243</v>
      </c>
      <c r="E109" s="24" t="str">
        <f t="shared" si="9"/>
        <v>s12q74_ab_problems_poultry</v>
      </c>
      <c r="F109" s="23" t="s">
        <v>244</v>
      </c>
      <c r="G109" s="24" t="str">
        <f t="shared" si="10"/>
        <v>S12Q74: Các nhược điểm hoặc vấn đề là gì?</v>
      </c>
      <c r="H109" s="23"/>
      <c r="I109" s="23"/>
      <c r="J109" s="23"/>
      <c r="K109" s="23" t="s">
        <v>40</v>
      </c>
      <c r="L109" s="23"/>
      <c r="M109" s="23" t="str">
        <f>CONCATENATE("selected(${",E108,"},'yes')")</f>
        <v>selected(${s12q73_is_ab_problems_poultry},'yes')</v>
      </c>
      <c r="N109" s="23"/>
      <c r="O109" s="23"/>
      <c r="P109" s="23"/>
      <c r="Q109" s="23"/>
      <c r="R109" s="23"/>
      <c r="S109" s="23"/>
    </row>
    <row r="110" spans="1:19" x14ac:dyDescent="0.2">
      <c r="A110" s="23" t="s">
        <v>245</v>
      </c>
      <c r="B110" s="23" t="s">
        <v>285</v>
      </c>
      <c r="C110" s="23" t="s">
        <v>292</v>
      </c>
      <c r="D110" s="23" t="s">
        <v>247</v>
      </c>
      <c r="E110" s="24" t="str">
        <f t="shared" si="9"/>
        <v>s12q75_ab_problem_source</v>
      </c>
      <c r="F110" s="23" t="s">
        <v>293</v>
      </c>
      <c r="G110" s="24" t="str">
        <f t="shared" si="10"/>
        <v>S12Q75: Ông/bà nghe thấy các vấn đề đó ở đâu?</v>
      </c>
      <c r="H110" s="23"/>
      <c r="I110" s="23"/>
      <c r="J110" s="23"/>
      <c r="K110" s="23" t="s">
        <v>40</v>
      </c>
      <c r="L110" s="23"/>
      <c r="M110" s="23" t="str">
        <f>CONCATENATE("selected(${",E109,"},'unhealthy_meat') or selected(${",E109,"},'danger2health') or selected(${",E109,"},'lead2resistance')")</f>
        <v>selected(${s12q74_ab_problems_poultry},'unhealthy_meat') or selected(${s12q74_ab_problems_poultry},'danger2health') or selected(${s12q74_ab_problems_poultry},'lead2resistance')</v>
      </c>
      <c r="N110" s="23"/>
      <c r="O110" s="23"/>
      <c r="P110" s="23"/>
      <c r="Q110" s="23"/>
      <c r="R110" s="23"/>
      <c r="S110" s="23"/>
    </row>
    <row r="111" spans="1:19" x14ac:dyDescent="0.2">
      <c r="A111" s="4" t="s">
        <v>74</v>
      </c>
      <c r="C111" s="4" t="s">
        <v>43</v>
      </c>
      <c r="E111" s="6"/>
    </row>
    <row r="112" spans="1:19" x14ac:dyDescent="0.2">
      <c r="A112" s="32" t="s">
        <v>74</v>
      </c>
      <c r="B112" s="32"/>
      <c r="C112" s="32" t="s">
        <v>43</v>
      </c>
      <c r="D112" s="32"/>
      <c r="E112" s="32"/>
      <c r="F112" s="32"/>
      <c r="G112" s="32"/>
      <c r="H112" s="32"/>
      <c r="I112" s="32"/>
      <c r="J112" s="32"/>
      <c r="K112" s="32"/>
      <c r="L112" s="32"/>
      <c r="M112" s="32"/>
      <c r="N112" s="32"/>
      <c r="O112" s="32"/>
      <c r="P112" s="32"/>
      <c r="Q112" s="32"/>
      <c r="R112" s="32"/>
      <c r="S112" s="32"/>
    </row>
    <row r="113" spans="1:19" x14ac:dyDescent="0.2">
      <c r="A113" s="4" t="s">
        <v>294</v>
      </c>
      <c r="B113" s="4" t="s">
        <v>295</v>
      </c>
      <c r="C113" s="4" t="s">
        <v>43</v>
      </c>
      <c r="D113" s="4" t="s">
        <v>296</v>
      </c>
      <c r="E113" s="6" t="str">
        <f>CONCATENATE(B113,C113,"_",D113)</f>
        <v>s13_note_whole_farm</v>
      </c>
      <c r="F113" s="4" t="s">
        <v>297</v>
      </c>
      <c r="G113" s="4" t="str">
        <f>CONCATENATE(UPPER(B113),UPPER(C113),": ",F113)</f>
        <v>S13: Sau đây tôi sẽ hỏi ông/bà một số câu hỏi về &lt;span style='color:blue;'&gt;TOÀN BỘ TRẠI&lt;/span&gt;</v>
      </c>
    </row>
    <row r="114" spans="1:19" x14ac:dyDescent="0.2">
      <c r="A114" s="25" t="s">
        <v>41</v>
      </c>
      <c r="B114" s="25" t="s">
        <v>295</v>
      </c>
      <c r="C114" s="25" t="s">
        <v>43</v>
      </c>
      <c r="D114" s="25" t="s">
        <v>298</v>
      </c>
      <c r="E114" s="5" t="str">
        <f t="shared" ref="E114:E122" si="11">CONCATENATE(B114,C114,"_",D114)</f>
        <v>s13_grp_housing</v>
      </c>
      <c r="F114" s="25" t="s">
        <v>299</v>
      </c>
      <c r="G114" s="25" t="str">
        <f t="shared" ref="G114:G122" si="12">CONCATENATE(UPPER(B114),UPPER(C114),": ",F114)</f>
        <v>S13: Khu nhà/chuồng nuôi gà</v>
      </c>
      <c r="H114" s="25"/>
      <c r="I114" s="25"/>
      <c r="J114" s="25"/>
      <c r="K114" s="25"/>
      <c r="L114" s="25"/>
      <c r="M114" s="25"/>
      <c r="N114" s="25"/>
      <c r="O114" s="25"/>
      <c r="P114" s="25"/>
      <c r="Q114" s="25"/>
      <c r="R114" s="25"/>
      <c r="S114" s="25"/>
    </row>
    <row r="115" spans="1:19" x14ac:dyDescent="0.2">
      <c r="A115" s="25" t="s">
        <v>300</v>
      </c>
      <c r="B115" s="25" t="s">
        <v>295</v>
      </c>
      <c r="C115" s="25" t="s">
        <v>301</v>
      </c>
      <c r="D115" s="25" t="s">
        <v>302</v>
      </c>
      <c r="E115" s="5" t="str">
        <f t="shared" si="11"/>
        <v>s13q76_housing_type</v>
      </c>
      <c r="F115" s="25" t="s">
        <v>303</v>
      </c>
      <c r="G115" s="25" t="str">
        <f t="shared" si="12"/>
        <v>S13Q76: Đàn gà được nuôi theo phương thức nào?</v>
      </c>
      <c r="H115" s="25"/>
      <c r="I115" s="25"/>
      <c r="J115" s="25"/>
      <c r="K115" s="25" t="s">
        <v>40</v>
      </c>
      <c r="L115" s="25" t="s">
        <v>50</v>
      </c>
      <c r="M115" s="25"/>
      <c r="N115" s="25"/>
      <c r="O115" s="25"/>
      <c r="P115" s="25"/>
      <c r="Q115" s="25"/>
      <c r="R115" s="25"/>
      <c r="S115" s="25"/>
    </row>
    <row r="116" spans="1:19" x14ac:dyDescent="0.2">
      <c r="A116" s="25" t="s">
        <v>88</v>
      </c>
      <c r="B116" s="25" t="s">
        <v>295</v>
      </c>
      <c r="C116" s="25" t="s">
        <v>304</v>
      </c>
      <c r="D116" s="25" t="s">
        <v>305</v>
      </c>
      <c r="E116" s="5" t="str">
        <f t="shared" si="11"/>
        <v>s13q77_no_house_structure</v>
      </c>
      <c r="F116" s="25" t="s">
        <v>306</v>
      </c>
      <c r="G116" s="25" t="str">
        <f t="shared" si="12"/>
        <v>S13Q77: Trại của ông/bà có bao nhiêu dãy chuồng?</v>
      </c>
      <c r="H116" s="25"/>
      <c r="I116" s="25" t="s">
        <v>106</v>
      </c>
      <c r="J116" s="25"/>
      <c r="K116" s="25" t="s">
        <v>40</v>
      </c>
      <c r="L116" s="25"/>
      <c r="M116" s="25"/>
      <c r="N116" s="25"/>
      <c r="O116" s="25"/>
      <c r="P116" s="25"/>
      <c r="Q116" s="25"/>
      <c r="R116" s="25"/>
      <c r="S116" s="25"/>
    </row>
    <row r="117" spans="1:19" x14ac:dyDescent="0.2">
      <c r="A117" s="25" t="s">
        <v>88</v>
      </c>
      <c r="B117" s="25" t="s">
        <v>295</v>
      </c>
      <c r="C117" s="25" t="s">
        <v>307</v>
      </c>
      <c r="D117" s="25" t="s">
        <v>308</v>
      </c>
      <c r="E117" s="5" t="str">
        <f t="shared" si="11"/>
        <v>s13q78_no_coops</v>
      </c>
      <c r="F117" s="25" t="s">
        <v>309</v>
      </c>
      <c r="G117" s="25" t="str">
        <f t="shared" si="12"/>
        <v xml:space="preserve">S13Q78: Ông/bà có tổng số có bao nhiêu ô chuồng nuôi (trong toàn khu trang trại)? </v>
      </c>
      <c r="H117" s="25"/>
      <c r="I117" s="25" t="s">
        <v>106</v>
      </c>
      <c r="J117" s="25"/>
      <c r="K117" s="25" t="s">
        <v>40</v>
      </c>
      <c r="L117" s="25"/>
      <c r="M117" s="25"/>
      <c r="N117" s="25"/>
      <c r="O117" s="25"/>
      <c r="P117" s="25"/>
      <c r="Q117" s="25"/>
      <c r="R117" s="25"/>
      <c r="S117" s="25"/>
    </row>
    <row r="118" spans="1:19" x14ac:dyDescent="0.2">
      <c r="A118" s="25" t="s">
        <v>88</v>
      </c>
      <c r="B118" s="25" t="s">
        <v>295</v>
      </c>
      <c r="C118" s="25" t="s">
        <v>310</v>
      </c>
      <c r="D118" s="25" t="s">
        <v>311</v>
      </c>
      <c r="E118" s="5" t="str">
        <f t="shared" si="11"/>
        <v>s13q79_avg_no_coop</v>
      </c>
      <c r="F118" s="25" t="s">
        <v>312</v>
      </c>
      <c r="G118" s="25" t="str">
        <f t="shared" si="12"/>
        <v xml:space="preserve">S13Q79: Trung bình, ông/bà nuôi bao nhiêu gà trong 1 ô chuồng? </v>
      </c>
      <c r="H118" s="25"/>
      <c r="I118" s="25" t="s">
        <v>106</v>
      </c>
      <c r="J118" s="25"/>
      <c r="K118" s="25" t="s">
        <v>40</v>
      </c>
      <c r="L118" s="25"/>
      <c r="M118" s="25"/>
      <c r="N118" s="25"/>
      <c r="O118" s="25"/>
      <c r="P118" s="25"/>
      <c r="Q118" s="25"/>
      <c r="R118" s="25"/>
      <c r="S118" s="25"/>
    </row>
    <row r="119" spans="1:19" x14ac:dyDescent="0.2">
      <c r="A119" s="25" t="s">
        <v>67</v>
      </c>
      <c r="B119" s="25" t="s">
        <v>295</v>
      </c>
      <c r="C119" s="25" t="s">
        <v>313</v>
      </c>
      <c r="D119" s="25" t="s">
        <v>314</v>
      </c>
      <c r="E119" s="5" t="str">
        <f t="shared" si="11"/>
        <v>s13q80_is_auto_drinkers</v>
      </c>
      <c r="F119" s="25" t="s">
        <v>315</v>
      </c>
      <c r="G119" s="25" t="str">
        <f t="shared" si="12"/>
        <v xml:space="preserve">S13Q80: Chuồng nuôi của ông/bà có hệ thống cấp nước tự động không? </v>
      </c>
      <c r="H119" s="25"/>
      <c r="I119" s="25"/>
      <c r="J119" s="25"/>
      <c r="K119" s="25" t="s">
        <v>40</v>
      </c>
      <c r="L119" s="25" t="s">
        <v>50</v>
      </c>
      <c r="M119" s="25"/>
      <c r="N119" s="25"/>
      <c r="O119" s="25"/>
      <c r="P119" s="25"/>
      <c r="Q119" s="25"/>
      <c r="R119" s="25"/>
      <c r="S119" s="25"/>
    </row>
    <row r="120" spans="1:19" x14ac:dyDescent="0.2">
      <c r="A120" s="25" t="s">
        <v>316</v>
      </c>
      <c r="B120" s="25" t="s">
        <v>295</v>
      </c>
      <c r="C120" s="25" t="s">
        <v>317</v>
      </c>
      <c r="D120" s="25" t="s">
        <v>318</v>
      </c>
      <c r="E120" s="5" t="str">
        <f t="shared" si="11"/>
        <v>s13q81_water_source</v>
      </c>
      <c r="F120" s="25" t="s">
        <v>319</v>
      </c>
      <c r="G120" s="25" t="str">
        <f t="shared" si="12"/>
        <v>S13Q81: Nguồn nước cung cấp cho gà trong trại của ông/bà là gì?</v>
      </c>
      <c r="H120" s="25"/>
      <c r="I120" s="25"/>
      <c r="J120" s="25"/>
      <c r="K120" s="25" t="s">
        <v>40</v>
      </c>
      <c r="L120" s="25"/>
      <c r="M120" s="25"/>
      <c r="N120" s="25"/>
      <c r="O120" s="25"/>
      <c r="P120" s="25"/>
      <c r="Q120" s="25"/>
      <c r="R120" s="25"/>
      <c r="S120" s="25"/>
    </row>
    <row r="121" spans="1:19" x14ac:dyDescent="0.2">
      <c r="A121" s="25" t="s">
        <v>67</v>
      </c>
      <c r="B121" s="25" t="s">
        <v>295</v>
      </c>
      <c r="C121" s="25" t="s">
        <v>320</v>
      </c>
      <c r="D121" s="25" t="s">
        <v>321</v>
      </c>
      <c r="E121" s="5" t="str">
        <f t="shared" si="11"/>
        <v>s13q82_is_treated_h2o</v>
      </c>
      <c r="F121" s="25" t="s">
        <v>322</v>
      </c>
      <c r="G121" s="25" t="str">
        <f t="shared" si="12"/>
        <v xml:space="preserve">S13Q82: Ông/bà có xử lý nước trước khi sử dụng cho gà không? </v>
      </c>
      <c r="H121" s="25"/>
      <c r="I121" s="25"/>
      <c r="J121" s="25"/>
      <c r="K121" s="25" t="s">
        <v>40</v>
      </c>
      <c r="L121" s="25" t="s">
        <v>50</v>
      </c>
      <c r="M121" s="25"/>
      <c r="N121" s="25"/>
      <c r="O121" s="25"/>
      <c r="P121" s="25"/>
      <c r="Q121" s="25"/>
      <c r="R121" s="25"/>
      <c r="S121" s="25"/>
    </row>
    <row r="122" spans="1:19" x14ac:dyDescent="0.2">
      <c r="A122" s="25" t="s">
        <v>323</v>
      </c>
      <c r="B122" s="25" t="s">
        <v>295</v>
      </c>
      <c r="C122" s="25" t="s">
        <v>324</v>
      </c>
      <c r="D122" s="25" t="s">
        <v>325</v>
      </c>
      <c r="E122" s="5" t="str">
        <f t="shared" si="11"/>
        <v>s13q83_h2o_treatment</v>
      </c>
      <c r="F122" s="25" t="s">
        <v>326</v>
      </c>
      <c r="G122" s="25" t="str">
        <f t="shared" si="12"/>
        <v>S13Q83: Ông/bà xử lý bằng gì?</v>
      </c>
      <c r="H122" s="25"/>
      <c r="I122" s="25"/>
      <c r="J122" s="25"/>
      <c r="K122" s="25" t="s">
        <v>40</v>
      </c>
      <c r="L122" s="25"/>
      <c r="M122" s="25" t="str">
        <f>CONCATENATE("selected(${",E121,"},'yes')")</f>
        <v>selected(${s13q82_is_treated_h2o},'yes')</v>
      </c>
      <c r="N122" s="25"/>
      <c r="O122" s="25"/>
      <c r="P122" s="25"/>
      <c r="Q122" s="25"/>
      <c r="R122" s="25"/>
      <c r="S122" s="25"/>
    </row>
    <row r="123" spans="1:19" x14ac:dyDescent="0.2">
      <c r="A123" s="4" t="s">
        <v>74</v>
      </c>
      <c r="C123" s="4" t="s">
        <v>43</v>
      </c>
    </row>
    <row r="124" spans="1:19" x14ac:dyDescent="0.2">
      <c r="A124" s="4" t="s">
        <v>294</v>
      </c>
      <c r="B124" s="4" t="s">
        <v>327</v>
      </c>
      <c r="C124" s="4" t="s">
        <v>43</v>
      </c>
      <c r="D124" s="4" t="s">
        <v>328</v>
      </c>
      <c r="E124" s="6" t="str">
        <f t="shared" ref="E124:E182" si="13">CONCATENATE(B124,C124,"_",D124)</f>
        <v>s14_note_show_farm</v>
      </c>
      <c r="F124" s="4" t="s">
        <v>329</v>
      </c>
      <c r="G124" s="4" t="str">
        <f t="shared" ref="G124:G182" si="14">CONCATENATE(UPPER(B124),UPPER(C124),": ",F124)</f>
        <v>S14: Ông/bà có thể dẫn tôi quan sát xung quanh khu trang trại? Khu đi thăm, tôi sẽ hỏi ông/bà một số câu hỏi liên quan đến vận hành trang trại. &lt;br/&gt;&lt;br/&gt;Lưu ý đối với điều tra viên (không đọc): &lt;br/&gt;&lt;i&gt;&lt;span style='color:blue;'&gt;Đối với phần này, các đáp án sẽ dựa vào quan sát của điều tra viên, trừ khi có các câu hỏi cần hỏi. Nếu quan sát của điều tra viên khác với câu trả lời của người được phỏng vấn, thì nhập kết quả theo những gì mà điều tra viên quan sát được.&lt;/span&gt;&lt;/i&gt;</v>
      </c>
    </row>
    <row r="125" spans="1:19" x14ac:dyDescent="0.2">
      <c r="A125" s="8" t="s">
        <v>41</v>
      </c>
      <c r="B125" s="8" t="s">
        <v>327</v>
      </c>
      <c r="C125" s="8" t="s">
        <v>43</v>
      </c>
      <c r="D125" s="8" t="s">
        <v>330</v>
      </c>
      <c r="E125" s="9" t="str">
        <f t="shared" si="13"/>
        <v>s14_grp_gen_biosafety</v>
      </c>
      <c r="F125" s="8" t="s">
        <v>331</v>
      </c>
      <c r="G125" s="8" t="str">
        <f t="shared" si="14"/>
        <v>S14: An toàn sinh học</v>
      </c>
      <c r="H125" s="8"/>
      <c r="I125" s="8"/>
      <c r="J125" s="8"/>
      <c r="K125" s="8"/>
      <c r="L125" s="8"/>
      <c r="M125" s="8"/>
      <c r="N125" s="8"/>
      <c r="O125" s="8"/>
      <c r="P125" s="8"/>
      <c r="Q125" s="8"/>
      <c r="R125" s="8"/>
      <c r="S125" s="8"/>
    </row>
    <row r="126" spans="1:19" x14ac:dyDescent="0.2">
      <c r="A126" s="8" t="s">
        <v>332</v>
      </c>
      <c r="B126" s="8" t="s">
        <v>327</v>
      </c>
      <c r="C126" s="33" t="s">
        <v>333</v>
      </c>
      <c r="D126" s="8" t="s">
        <v>334</v>
      </c>
      <c r="E126" s="9" t="str">
        <f t="shared" si="13"/>
        <v>s14q84_is_fenced</v>
      </c>
      <c r="F126" s="8" t="str">
        <f>CONCATENATE("&lt;span style='color:blue;'&gt;QUAN SÁT&lt;/span&gt;: Trang trại được rào xung quanh không?")</f>
        <v>&lt;span style='color:blue;'&gt;QUAN SÁT&lt;/span&gt;: Trang trại được rào xung quanh không?</v>
      </c>
      <c r="G126" s="8" t="str">
        <f t="shared" si="14"/>
        <v>S14Q84: &lt;span style='color:blue;'&gt;QUAN SÁT&lt;/span&gt;: Trang trại được rào xung quanh không?</v>
      </c>
      <c r="H126" s="8"/>
      <c r="I126" s="8"/>
      <c r="J126" s="8"/>
      <c r="K126" s="8" t="s">
        <v>40</v>
      </c>
      <c r="L126" s="8" t="s">
        <v>50</v>
      </c>
      <c r="M126" s="8"/>
      <c r="N126" s="8"/>
      <c r="O126" s="8"/>
      <c r="P126" s="8"/>
      <c r="Q126" s="8"/>
      <c r="R126" s="8"/>
      <c r="S126" s="8"/>
    </row>
    <row r="127" spans="1:19" x14ac:dyDescent="0.2">
      <c r="A127" s="8" t="s">
        <v>67</v>
      </c>
      <c r="B127" s="8" t="s">
        <v>327</v>
      </c>
      <c r="C127" s="33" t="s">
        <v>335</v>
      </c>
      <c r="D127" s="8" t="s">
        <v>336</v>
      </c>
      <c r="E127" s="9" t="str">
        <f t="shared" si="13"/>
        <v>s14q85_is_foot_bath</v>
      </c>
      <c r="F127" s="8" t="str">
        <f>CONCATENATE("&lt;span style='color:blue;'&gt;QUAN SÁT&lt;/span&gt;: Trang trại có hố sát trùng giày, ủng ở lối vào không?")</f>
        <v>&lt;span style='color:blue;'&gt;QUAN SÁT&lt;/span&gt;: Trang trại có hố sát trùng giày, ủng ở lối vào không?</v>
      </c>
      <c r="G127" s="8" t="str">
        <f t="shared" si="14"/>
        <v>S14Q85: &lt;span style='color:blue;'&gt;QUAN SÁT&lt;/span&gt;: Trang trại có hố sát trùng giày, ủng ở lối vào không?</v>
      </c>
      <c r="H127" s="8"/>
      <c r="I127" s="8"/>
      <c r="J127" s="8"/>
      <c r="K127" s="8" t="s">
        <v>40</v>
      </c>
      <c r="L127" s="8" t="s">
        <v>50</v>
      </c>
      <c r="M127" s="8"/>
      <c r="N127" s="8"/>
      <c r="O127" s="8"/>
      <c r="P127" s="8"/>
      <c r="Q127" s="8"/>
      <c r="R127" s="8"/>
      <c r="S127" s="8"/>
    </row>
    <row r="128" spans="1:19" x14ac:dyDescent="0.2">
      <c r="A128" s="8" t="s">
        <v>67</v>
      </c>
      <c r="B128" s="8" t="s">
        <v>327</v>
      </c>
      <c r="C128" s="33" t="s">
        <v>337</v>
      </c>
      <c r="D128" s="8" t="s">
        <v>338</v>
      </c>
      <c r="E128" s="9" t="str">
        <f t="shared" si="13"/>
        <v>s14q86_is_used_footbath</v>
      </c>
      <c r="F128" s="8" t="str">
        <f>CONCATENATE("&lt;span style='color:blue;'&gt;QUAN SÁT - Hố sát trùng&lt;/span&gt;: Hố sát trùng vẫn đang dùng/còn hoạt động?")</f>
        <v>&lt;span style='color:blue;'&gt;QUAN SÁT - Hố sát trùng&lt;/span&gt;: Hố sát trùng vẫn đang dùng/còn hoạt động?</v>
      </c>
      <c r="G128" s="8" t="str">
        <f t="shared" si="14"/>
        <v>S14Q86: &lt;span style='color:blue;'&gt;QUAN SÁT - Hố sát trùng&lt;/span&gt;: Hố sát trùng vẫn đang dùng/còn hoạt động?</v>
      </c>
      <c r="H128" s="8"/>
      <c r="I128" s="8"/>
      <c r="J128" s="8"/>
      <c r="K128" s="8" t="s">
        <v>40</v>
      </c>
      <c r="L128" s="8" t="s">
        <v>50</v>
      </c>
      <c r="M128" s="8" t="str">
        <f>CONCATENATE("selected(${",E127,"},'yes')")</f>
        <v>selected(${s14q85_is_foot_bath},'yes')</v>
      </c>
      <c r="N128" s="8"/>
      <c r="O128" s="8"/>
      <c r="P128" s="8"/>
      <c r="Q128" s="8"/>
      <c r="R128" s="8"/>
      <c r="S128" s="8"/>
    </row>
    <row r="129" spans="1:19" x14ac:dyDescent="0.2">
      <c r="A129" s="8" t="s">
        <v>339</v>
      </c>
      <c r="B129" s="8" t="s">
        <v>327</v>
      </c>
      <c r="C129" s="33" t="s">
        <v>340</v>
      </c>
      <c r="D129" s="8" t="s">
        <v>341</v>
      </c>
      <c r="E129" s="9" t="str">
        <f>CONCATENATE(B129,C129,"_",D129)</f>
        <v>s14q87_footbath_disinfectant</v>
      </c>
      <c r="F129" s="8" t="str">
        <f>CONCATENATE("&lt;span style='color:blue;'&gt;HỎI - Hố sát trùng&lt;/span&gt;: Ông/bà sử dụng chất sát trùng gì?")</f>
        <v>&lt;span style='color:blue;'&gt;HỎI - Hố sát trùng&lt;/span&gt;: Ông/bà sử dụng chất sát trùng gì?</v>
      </c>
      <c r="G129" s="8" t="str">
        <f>CONCATENATE(UPPER(B129),UPPER(C129),": ",F129)</f>
        <v>S14Q87: &lt;span style='color:blue;'&gt;HỎI - Hố sát trùng&lt;/span&gt;: Ông/bà sử dụng chất sát trùng gì?</v>
      </c>
      <c r="H129" s="8"/>
      <c r="I129" s="8"/>
      <c r="J129" s="8"/>
      <c r="K129" s="8" t="s">
        <v>40</v>
      </c>
      <c r="L129" s="8"/>
      <c r="M129" s="8" t="str">
        <f>CONCATENATE("selected(${",E128,"},'yes')")</f>
        <v>selected(${s14q86_is_used_footbath},'yes')</v>
      </c>
      <c r="N129" s="8"/>
      <c r="O129" s="8"/>
      <c r="P129" s="8"/>
      <c r="Q129" s="8"/>
      <c r="R129" s="8"/>
      <c r="S129" s="8"/>
    </row>
    <row r="130" spans="1:19" x14ac:dyDescent="0.2">
      <c r="A130" s="8" t="s">
        <v>342</v>
      </c>
      <c r="B130" s="8" t="s">
        <v>327</v>
      </c>
      <c r="C130" s="33" t="s">
        <v>343</v>
      </c>
      <c r="D130" s="8" t="s">
        <v>344</v>
      </c>
      <c r="E130" s="9" t="str">
        <f>CONCATENATE(B130,C130,"_",D130)</f>
        <v>s14q88_footbath_disinfectant_change</v>
      </c>
      <c r="F130" s="8" t="str">
        <f>CONCATENATE("&lt;span style='color:blue;'&gt;HỎI - Hố sát trùng&lt;/span&gt;: Bao lâu ông/bà thay dung dịch sát trùng 1 lần?")</f>
        <v>&lt;span style='color:blue;'&gt;HỎI - Hố sát trùng&lt;/span&gt;: Bao lâu ông/bà thay dung dịch sát trùng 1 lần?</v>
      </c>
      <c r="G130" s="8" t="str">
        <f>CONCATENATE(UPPER(B130),UPPER(C130),": ",F130)</f>
        <v>S14Q88: &lt;span style='color:blue;'&gt;HỎI - Hố sát trùng&lt;/span&gt;: Bao lâu ông/bà thay dung dịch sát trùng 1 lần?</v>
      </c>
      <c r="H130" s="8"/>
      <c r="I130" s="8"/>
      <c r="J130" s="8"/>
      <c r="K130" s="8" t="s">
        <v>40</v>
      </c>
      <c r="L130" s="8" t="s">
        <v>50</v>
      </c>
      <c r="M130" s="8" t="str">
        <f>CONCATENATE("selected(${",E128,"},'yes')")</f>
        <v>selected(${s14q86_is_used_footbath},'yes')</v>
      </c>
      <c r="N130" s="8"/>
      <c r="O130" s="8"/>
      <c r="P130" s="8"/>
      <c r="Q130" s="8"/>
      <c r="R130" s="8"/>
      <c r="S130" s="8"/>
    </row>
    <row r="131" spans="1:19" x14ac:dyDescent="0.2">
      <c r="A131" s="8" t="s">
        <v>67</v>
      </c>
      <c r="B131" s="8" t="s">
        <v>327</v>
      </c>
      <c r="C131" s="33" t="s">
        <v>345</v>
      </c>
      <c r="D131" s="8" t="s">
        <v>346</v>
      </c>
      <c r="E131" s="9" t="str">
        <f t="shared" si="13"/>
        <v>s14q89_is_veh_bath</v>
      </c>
      <c r="F131" s="8" t="str">
        <f>CONCATENATE("&lt;span style='color:blue;'&gt;QUAN SÁT&lt;/span&gt;: Trại có hố/rãnh sát trùng cho phương tiện ở lối vào không?")</f>
        <v>&lt;span style='color:blue;'&gt;QUAN SÁT&lt;/span&gt;: Trại có hố/rãnh sát trùng cho phương tiện ở lối vào không?</v>
      </c>
      <c r="G131" s="8" t="str">
        <f t="shared" si="14"/>
        <v>S14Q89: &lt;span style='color:blue;'&gt;QUAN SÁT&lt;/span&gt;: Trại có hố/rãnh sát trùng cho phương tiện ở lối vào không?</v>
      </c>
      <c r="H131" s="8"/>
      <c r="I131" s="8"/>
      <c r="J131" s="8"/>
      <c r="K131" s="8" t="s">
        <v>40</v>
      </c>
      <c r="L131" s="8" t="s">
        <v>50</v>
      </c>
      <c r="M131" s="8"/>
      <c r="N131" s="8"/>
      <c r="O131" s="8"/>
      <c r="P131" s="8"/>
      <c r="Q131" s="8"/>
      <c r="R131" s="8"/>
      <c r="S131" s="8"/>
    </row>
    <row r="132" spans="1:19" x14ac:dyDescent="0.2">
      <c r="A132" s="8" t="s">
        <v>67</v>
      </c>
      <c r="B132" s="8" t="s">
        <v>327</v>
      </c>
      <c r="C132" s="33" t="s">
        <v>347</v>
      </c>
      <c r="D132" s="8" t="s">
        <v>348</v>
      </c>
      <c r="E132" s="9" t="str">
        <f>CONCATENATE(B132,C132,"_",D132)</f>
        <v>s14q90_is_used_vehbath</v>
      </c>
      <c r="F132" s="8" t="str">
        <f>CONCATENATE("&lt;span style='color:blue;'&gt;QUAN SÁT - Hố sát trùng&lt;/span&gt;: hố/rãnh sát trùng cho phương tiện ở lối vào có đang dùng/còn hoạt động?")</f>
        <v>&lt;span style='color:blue;'&gt;QUAN SÁT - Hố sát trùng&lt;/span&gt;: hố/rãnh sát trùng cho phương tiện ở lối vào có đang dùng/còn hoạt động?</v>
      </c>
      <c r="G132" s="8" t="str">
        <f>CONCATENATE(UPPER(B132),UPPER(C132),": ",F132)</f>
        <v>S14Q90: &lt;span style='color:blue;'&gt;QUAN SÁT - Hố sát trùng&lt;/span&gt;: hố/rãnh sát trùng cho phương tiện ở lối vào có đang dùng/còn hoạt động?</v>
      </c>
      <c r="H132" s="8"/>
      <c r="I132" s="8"/>
      <c r="J132" s="8"/>
      <c r="K132" s="8" t="s">
        <v>40</v>
      </c>
      <c r="L132" s="8" t="s">
        <v>50</v>
      </c>
      <c r="M132" s="8" t="str">
        <f>CONCATENATE("selected(${",E131,"},'yes')")</f>
        <v>selected(${s14q89_is_veh_bath},'yes')</v>
      </c>
      <c r="N132" s="8"/>
      <c r="O132" s="8"/>
      <c r="P132" s="8"/>
      <c r="Q132" s="8"/>
      <c r="R132" s="8"/>
      <c r="S132" s="8"/>
    </row>
    <row r="133" spans="1:19" x14ac:dyDescent="0.2">
      <c r="A133" s="8" t="s">
        <v>339</v>
      </c>
      <c r="B133" s="8" t="s">
        <v>327</v>
      </c>
      <c r="C133" s="33" t="s">
        <v>349</v>
      </c>
      <c r="D133" s="8" t="s">
        <v>350</v>
      </c>
      <c r="E133" s="9" t="str">
        <f>CONCATENATE(B133,C133,"_",D133)</f>
        <v>s14q91_veh_disinfectant</v>
      </c>
      <c r="F133" s="8" t="str">
        <f>CONCATENATE("&lt;span style='color:blue;'&gt;HỎI - Hố sát trùng&lt;/span&gt;: Ông/bà sử dụng chất sát trùng gì cho phương tiện?")</f>
        <v>&lt;span style='color:blue;'&gt;HỎI - Hố sát trùng&lt;/span&gt;: Ông/bà sử dụng chất sát trùng gì cho phương tiện?</v>
      </c>
      <c r="G133" s="8" t="str">
        <f>CONCATENATE(UPPER(B133),UPPER(C133),": ",F133)</f>
        <v>S14Q91: &lt;span style='color:blue;'&gt;HỎI - Hố sát trùng&lt;/span&gt;: Ông/bà sử dụng chất sát trùng gì cho phương tiện?</v>
      </c>
      <c r="H133" s="8"/>
      <c r="I133" s="8"/>
      <c r="J133" s="8"/>
      <c r="K133" s="8" t="s">
        <v>40</v>
      </c>
      <c r="L133" s="8"/>
      <c r="M133" s="8" t="str">
        <f>CONCATENATE("selected(${",E132,"},'yes')")</f>
        <v>selected(${s14q90_is_used_vehbath},'yes')</v>
      </c>
      <c r="N133" s="8"/>
      <c r="O133" s="8"/>
      <c r="P133" s="8"/>
      <c r="Q133" s="8"/>
      <c r="R133" s="8"/>
      <c r="S133" s="8"/>
    </row>
    <row r="134" spans="1:19" x14ac:dyDescent="0.2">
      <c r="A134" s="8" t="s">
        <v>342</v>
      </c>
      <c r="B134" s="8" t="s">
        <v>327</v>
      </c>
      <c r="C134" s="33" t="s">
        <v>351</v>
      </c>
      <c r="D134" s="8" t="s">
        <v>352</v>
      </c>
      <c r="E134" s="9" t="str">
        <f>CONCATENATE(B134,C134,"_",D134)</f>
        <v>s14q92_veh_disinfectant_change</v>
      </c>
      <c r="F134" s="8" t="str">
        <f>CONCATENATE("&lt;span style='color:blue;'&gt;HỎI - Hố sát trùng&lt;/span&gt;: Bao lâu ông/bà thay dung dịch sát trùng cho phương tiện 1 lần?")</f>
        <v>&lt;span style='color:blue;'&gt;HỎI - Hố sát trùng&lt;/span&gt;: Bao lâu ông/bà thay dung dịch sát trùng cho phương tiện 1 lần?</v>
      </c>
      <c r="G134" s="8" t="str">
        <f>CONCATENATE(UPPER(B134),UPPER(C134),": ",F134)</f>
        <v>S14Q92: &lt;span style='color:blue;'&gt;HỎI - Hố sát trùng&lt;/span&gt;: Bao lâu ông/bà thay dung dịch sát trùng cho phương tiện 1 lần?</v>
      </c>
      <c r="H134" s="8"/>
      <c r="I134" s="8"/>
      <c r="J134" s="8"/>
      <c r="K134" s="8" t="s">
        <v>40</v>
      </c>
      <c r="L134" s="8" t="s">
        <v>50</v>
      </c>
      <c r="M134" s="8" t="str">
        <f>CONCATENATE("selected(${",E132,"},'yes')")</f>
        <v>selected(${s14q90_is_used_vehbath},'yes')</v>
      </c>
      <c r="N134" s="8"/>
      <c r="O134" s="8"/>
      <c r="P134" s="8"/>
      <c r="Q134" s="8"/>
      <c r="R134" s="8"/>
      <c r="S134" s="8"/>
    </row>
    <row r="135" spans="1:19" x14ac:dyDescent="0.2">
      <c r="A135" s="4" t="s">
        <v>74</v>
      </c>
      <c r="C135" s="7" t="s">
        <v>43</v>
      </c>
      <c r="E135" s="6"/>
    </row>
    <row r="136" spans="1:19" x14ac:dyDescent="0.2">
      <c r="A136" s="8" t="s">
        <v>41</v>
      </c>
      <c r="B136" s="8" t="s">
        <v>353</v>
      </c>
      <c r="C136" s="33" t="s">
        <v>43</v>
      </c>
      <c r="D136" s="8" t="s">
        <v>354</v>
      </c>
      <c r="E136" s="9" t="str">
        <f>CONCATENATE(B136,C136,"_",D136)</f>
        <v>s15_grp_footbath</v>
      </c>
      <c r="F136" s="8" t="s">
        <v>355</v>
      </c>
      <c r="G136" s="8" t="str">
        <f>CONCATENATE(UPPER(B136),UPPER(C136),": ",F136)</f>
        <v>S15: Hố sát trùng ủng/giày</v>
      </c>
      <c r="H136" s="8"/>
      <c r="I136" s="8"/>
      <c r="J136" s="8"/>
      <c r="K136" s="8"/>
      <c r="L136" s="8"/>
      <c r="M136" s="8"/>
      <c r="N136" s="8"/>
      <c r="O136" s="8"/>
      <c r="P136" s="8"/>
      <c r="Q136" s="8"/>
      <c r="R136" s="8"/>
      <c r="S136" s="8"/>
    </row>
    <row r="137" spans="1:19" x14ac:dyDescent="0.2">
      <c r="A137" s="8" t="s">
        <v>67</v>
      </c>
      <c r="B137" s="8" t="s">
        <v>353</v>
      </c>
      <c r="C137" s="33" t="s">
        <v>356</v>
      </c>
      <c r="D137" s="8" t="s">
        <v>357</v>
      </c>
      <c r="E137" s="9" t="str">
        <f t="shared" si="13"/>
        <v>s15q93_is_coop_footbath</v>
      </c>
      <c r="F137" s="8" t="str">
        <f>CONCATENATE("&lt;span style='color:blue;'&gt;QUAN SÁT&lt;/span&gt;: Trại có hố sát trùng giày, ủng ở lối vào của từng khu/dãy chuồng nuôi không?")</f>
        <v>&lt;span style='color:blue;'&gt;QUAN SÁT&lt;/span&gt;: Trại có hố sát trùng giày, ủng ở lối vào của từng khu/dãy chuồng nuôi không?</v>
      </c>
      <c r="G137" s="8" t="str">
        <f t="shared" si="14"/>
        <v>S15Q93: &lt;span style='color:blue;'&gt;QUAN SÁT&lt;/span&gt;: Trại có hố sát trùng giày, ủng ở lối vào của từng khu/dãy chuồng nuôi không?</v>
      </c>
      <c r="H137" s="8"/>
      <c r="I137" s="8"/>
      <c r="J137" s="8"/>
      <c r="K137" s="8" t="s">
        <v>40</v>
      </c>
      <c r="L137" s="8" t="s">
        <v>50</v>
      </c>
      <c r="M137" s="8"/>
      <c r="N137" s="8"/>
      <c r="O137" s="8"/>
      <c r="P137" s="8"/>
      <c r="Q137" s="8"/>
      <c r="R137" s="8"/>
      <c r="S137" s="8"/>
    </row>
    <row r="138" spans="1:19" x14ac:dyDescent="0.2">
      <c r="A138" s="8" t="s">
        <v>67</v>
      </c>
      <c r="B138" s="8" t="s">
        <v>353</v>
      </c>
      <c r="C138" s="33" t="s">
        <v>358</v>
      </c>
      <c r="D138" s="8" t="s">
        <v>359</v>
      </c>
      <c r="E138" s="9" t="str">
        <f t="shared" si="13"/>
        <v>s15q94_is_used_coopbath</v>
      </c>
      <c r="F138" s="8" t="str">
        <f>CONCATENATE("&lt;span style='color:blue;'&gt;QUAN SÁT&lt;/span&gt;: Hố sát trùng vẫn đang dùng/còn hoạt động?")</f>
        <v>&lt;span style='color:blue;'&gt;QUAN SÁT&lt;/span&gt;: Hố sát trùng vẫn đang dùng/còn hoạt động?</v>
      </c>
      <c r="G138" s="8" t="str">
        <f t="shared" si="14"/>
        <v>S15Q94: &lt;span style='color:blue;'&gt;QUAN SÁT&lt;/span&gt;: Hố sát trùng vẫn đang dùng/còn hoạt động?</v>
      </c>
      <c r="H138" s="8"/>
      <c r="I138" s="8"/>
      <c r="J138" s="8"/>
      <c r="K138" s="8" t="s">
        <v>40</v>
      </c>
      <c r="L138" s="8" t="s">
        <v>50</v>
      </c>
      <c r="M138" s="8" t="str">
        <f>CONCATENATE("selected(${",E137,"},'yes')")</f>
        <v>selected(${s15q93_is_coop_footbath},'yes')</v>
      </c>
      <c r="N138" s="8"/>
      <c r="O138" s="8"/>
      <c r="P138" s="8"/>
      <c r="Q138" s="8"/>
      <c r="R138" s="8"/>
      <c r="S138" s="8"/>
    </row>
    <row r="139" spans="1:19" x14ac:dyDescent="0.2">
      <c r="A139" s="8" t="s">
        <v>67</v>
      </c>
      <c r="B139" s="8" t="s">
        <v>353</v>
      </c>
      <c r="C139" s="33" t="s">
        <v>360</v>
      </c>
      <c r="D139" s="8" t="s">
        <v>361</v>
      </c>
      <c r="E139" s="9" t="str">
        <f t="shared" si="13"/>
        <v>s15q95_is_same_disinfectant</v>
      </c>
      <c r="F139" s="8" t="str">
        <f>CONCATENATE("&lt;span style='color:blue;'&gt;HỎI&lt;/span&gt;: Dung dịch sát trùng ở đây có cùng loại với dung dịch sát trùng giày, ủng ở lối vào của trại không?")</f>
        <v>&lt;span style='color:blue;'&gt;HỎI&lt;/span&gt;: Dung dịch sát trùng ở đây có cùng loại với dung dịch sát trùng giày, ủng ở lối vào của trại không?</v>
      </c>
      <c r="G139" s="8" t="str">
        <f t="shared" si="14"/>
        <v>S15Q95: &lt;span style='color:blue;'&gt;HỎI&lt;/span&gt;: Dung dịch sát trùng ở đây có cùng loại với dung dịch sát trùng giày, ủng ở lối vào của trại không?</v>
      </c>
      <c r="H139" s="8"/>
      <c r="I139" s="8"/>
      <c r="J139" s="8"/>
      <c r="K139" s="8" t="s">
        <v>40</v>
      </c>
      <c r="L139" s="8" t="s">
        <v>50</v>
      </c>
      <c r="M139" s="8" t="str">
        <f>CONCATENATE("selected(${",E138,"},'yes')")</f>
        <v>selected(${s15q94_is_used_coopbath},'yes')</v>
      </c>
      <c r="N139" s="8"/>
      <c r="O139" s="8"/>
      <c r="P139" s="8"/>
      <c r="Q139" s="8"/>
      <c r="R139" s="8"/>
      <c r="S139" s="8"/>
    </row>
    <row r="140" spans="1:19" x14ac:dyDescent="0.2">
      <c r="A140" s="8" t="s">
        <v>339</v>
      </c>
      <c r="B140" s="8" t="s">
        <v>353</v>
      </c>
      <c r="C140" s="33" t="s">
        <v>362</v>
      </c>
      <c r="D140" s="8" t="s">
        <v>363</v>
      </c>
      <c r="E140" s="9" t="str">
        <f t="shared" si="13"/>
        <v>s15q96_coop_disinfectant</v>
      </c>
      <c r="F140" s="8" t="str">
        <f>CONCATENATE("&lt;span style='color:blue;'&gt;HỎI&lt;/span&gt;: Nếu không, thì đó là loại dung dịch nào?")</f>
        <v>&lt;span style='color:blue;'&gt;HỎI&lt;/span&gt;: Nếu không, thì đó là loại dung dịch nào?</v>
      </c>
      <c r="G140" s="8" t="str">
        <f t="shared" si="14"/>
        <v>S15Q96: &lt;span style='color:blue;'&gt;HỎI&lt;/span&gt;: Nếu không, thì đó là loại dung dịch nào?</v>
      </c>
      <c r="H140" s="8"/>
      <c r="I140" s="8"/>
      <c r="J140" s="8"/>
      <c r="K140" s="8" t="s">
        <v>40</v>
      </c>
      <c r="L140" s="8"/>
      <c r="M140" s="8" t="str">
        <f>CONCATENATE("selected(${",E139,"},'no')")</f>
        <v>selected(${s15q95_is_same_disinfectant},'no')</v>
      </c>
      <c r="N140" s="8"/>
      <c r="O140" s="8"/>
      <c r="P140" s="8"/>
      <c r="Q140" s="8"/>
      <c r="R140" s="8"/>
      <c r="S140" s="8"/>
    </row>
    <row r="141" spans="1:19" x14ac:dyDescent="0.2">
      <c r="A141" s="8" t="s">
        <v>342</v>
      </c>
      <c r="B141" s="8" t="s">
        <v>353</v>
      </c>
      <c r="C141" s="33" t="s">
        <v>364</v>
      </c>
      <c r="D141" s="8" t="s">
        <v>365</v>
      </c>
      <c r="E141" s="9" t="str">
        <f t="shared" si="13"/>
        <v>s15q97_freq_coop_disinfection</v>
      </c>
      <c r="F141" s="8" t="str">
        <f>CONCATENATE("&lt;span style='color:blue;'&gt;HỎI&lt;/span&gt;: Bao lâu ông/bà thay dung dịch sát trùng 1 lần?")</f>
        <v>&lt;span style='color:blue;'&gt;HỎI&lt;/span&gt;: Bao lâu ông/bà thay dung dịch sát trùng 1 lần?</v>
      </c>
      <c r="G141" s="8" t="str">
        <f t="shared" si="14"/>
        <v>S15Q97: &lt;span style='color:blue;'&gt;HỎI&lt;/span&gt;: Bao lâu ông/bà thay dung dịch sát trùng 1 lần?</v>
      </c>
      <c r="H141" s="8"/>
      <c r="I141" s="8"/>
      <c r="J141" s="8"/>
      <c r="K141" s="8" t="s">
        <v>40</v>
      </c>
      <c r="L141" s="8" t="s">
        <v>50</v>
      </c>
      <c r="M141" s="8" t="str">
        <f>CONCATENATE("selected(${",E138,"},'yes')")</f>
        <v>selected(${s15q94_is_used_coopbath},'yes')</v>
      </c>
      <c r="N141" s="8"/>
      <c r="O141" s="8"/>
      <c r="P141" s="8"/>
      <c r="Q141" s="8"/>
      <c r="R141" s="8"/>
      <c r="S141" s="8"/>
    </row>
    <row r="142" spans="1:19" x14ac:dyDescent="0.2">
      <c r="A142" s="8" t="s">
        <v>67</v>
      </c>
      <c r="B142" s="8" t="s">
        <v>353</v>
      </c>
      <c r="C142" s="33" t="s">
        <v>366</v>
      </c>
      <c r="D142" s="8" t="s">
        <v>367</v>
      </c>
      <c r="E142" s="9" t="str">
        <f t="shared" si="13"/>
        <v>s15q97a_is_disinfect</v>
      </c>
      <c r="F142" s="8" t="s">
        <v>368</v>
      </c>
      <c r="G142" s="8" t="str">
        <f t="shared" si="14"/>
        <v>S15Q97A: Công nhân có sát trùng trước khi họ vào trong khu chuồng gà không?</v>
      </c>
      <c r="H142" s="8"/>
      <c r="I142" s="8"/>
      <c r="J142" s="8"/>
      <c r="K142" s="8" t="s">
        <v>40</v>
      </c>
      <c r="L142" s="8" t="s">
        <v>50</v>
      </c>
      <c r="M142" s="8" t="str">
        <f>CONCATENATE("selected(${",E137,"},'no')")</f>
        <v>selected(${s15q93_is_coop_footbath},'no')</v>
      </c>
      <c r="N142" s="8"/>
      <c r="O142" s="8"/>
      <c r="P142" s="8"/>
      <c r="Q142" s="8"/>
      <c r="R142" s="8"/>
      <c r="S142" s="8"/>
    </row>
    <row r="143" spans="1:19" x14ac:dyDescent="0.2">
      <c r="A143" s="8" t="s">
        <v>369</v>
      </c>
      <c r="B143" s="8" t="s">
        <v>353</v>
      </c>
      <c r="C143" s="33" t="s">
        <v>370</v>
      </c>
      <c r="D143" s="8" t="s">
        <v>371</v>
      </c>
      <c r="E143" s="9" t="str">
        <f t="shared" si="13"/>
        <v>s15q97b_disinfectant</v>
      </c>
      <c r="F143" s="8" t="s">
        <v>372</v>
      </c>
      <c r="G143" s="8" t="str">
        <f t="shared" si="14"/>
        <v>S15Q97B: Họ (công nhân) làm như thế nào khi sát trùng?</v>
      </c>
      <c r="H143" s="8"/>
      <c r="I143" s="8"/>
      <c r="J143" s="8"/>
      <c r="K143" s="8" t="s">
        <v>40</v>
      </c>
      <c r="L143" s="8" t="s">
        <v>50</v>
      </c>
      <c r="M143" s="8" t="str">
        <f>CONCATENATE("selected(${",E142,"},'yes')")</f>
        <v>selected(${s15q97a_is_disinfect},'yes')</v>
      </c>
      <c r="N143" s="8"/>
      <c r="O143" s="8"/>
      <c r="P143" s="8"/>
      <c r="Q143" s="8"/>
      <c r="R143" s="8"/>
      <c r="S143" s="8"/>
    </row>
    <row r="144" spans="1:19" x14ac:dyDescent="0.2">
      <c r="A144" s="4" t="s">
        <v>74</v>
      </c>
      <c r="C144" s="7" t="s">
        <v>43</v>
      </c>
      <c r="E144" s="6"/>
    </row>
    <row r="145" spans="1:19" x14ac:dyDescent="0.2">
      <c r="A145" s="21" t="s">
        <v>41</v>
      </c>
      <c r="B145" s="21" t="s">
        <v>373</v>
      </c>
      <c r="C145" s="43" t="s">
        <v>43</v>
      </c>
      <c r="D145" s="21" t="s">
        <v>374</v>
      </c>
      <c r="E145" s="22" t="str">
        <f t="shared" si="13"/>
        <v>s16_grp_general</v>
      </c>
      <c r="F145" s="21" t="s">
        <v>375</v>
      </c>
      <c r="G145" s="21" t="str">
        <f t="shared" si="14"/>
        <v>S16: Thông tin chung về giữ trang trại sạch</v>
      </c>
      <c r="H145" s="21"/>
      <c r="I145" s="21"/>
      <c r="J145" s="21"/>
      <c r="K145" s="21"/>
      <c r="L145" s="21"/>
      <c r="M145" s="21"/>
      <c r="N145" s="21"/>
      <c r="O145" s="21"/>
      <c r="P145" s="21"/>
      <c r="Q145" s="21"/>
      <c r="R145" s="21"/>
      <c r="S145" s="21"/>
    </row>
    <row r="146" spans="1:19" x14ac:dyDescent="0.2">
      <c r="A146" s="21" t="s">
        <v>67</v>
      </c>
      <c r="B146" s="21" t="s">
        <v>373</v>
      </c>
      <c r="C146" s="43" t="s">
        <v>376</v>
      </c>
      <c r="D146" s="21" t="s">
        <v>377</v>
      </c>
      <c r="E146" s="22" t="str">
        <f t="shared" si="13"/>
        <v>s16q98_is_farm_divided</v>
      </c>
      <c r="F146" s="21" t="str">
        <f>CONCATENATE("&lt;span style='color:blue;'&gt;QUAN SÁT và HỎI&lt;/span&gt;: Trại của ông/bà có phân chia riêng khu sạch và khu bẩn không?")</f>
        <v>&lt;span style='color:blue;'&gt;QUAN SÁT và HỎI&lt;/span&gt;: Trại của ông/bà có phân chia riêng khu sạch và khu bẩn không?</v>
      </c>
      <c r="G146" s="21" t="str">
        <f t="shared" si="14"/>
        <v>S16Q98: &lt;span style='color:blue;'&gt;QUAN SÁT và HỎI&lt;/span&gt;: Trại của ông/bà có phân chia riêng khu sạch và khu bẩn không?</v>
      </c>
      <c r="H146" s="21"/>
      <c r="I146" s="21"/>
      <c r="J146" s="21"/>
      <c r="K146" s="21" t="s">
        <v>40</v>
      </c>
      <c r="L146" s="21" t="s">
        <v>50</v>
      </c>
      <c r="M146" s="21"/>
      <c r="N146" s="21"/>
      <c r="O146" s="21"/>
      <c r="P146" s="21"/>
      <c r="Q146" s="21"/>
      <c r="R146" s="21"/>
      <c r="S146" s="21"/>
    </row>
    <row r="147" spans="1:19" x14ac:dyDescent="0.2">
      <c r="A147" s="21" t="s">
        <v>378</v>
      </c>
      <c r="B147" s="21" t="s">
        <v>373</v>
      </c>
      <c r="C147" s="43" t="s">
        <v>379</v>
      </c>
      <c r="D147" s="21" t="s">
        <v>380</v>
      </c>
      <c r="E147" s="22" t="str">
        <f t="shared" si="13"/>
        <v>s16q99_clean_coop</v>
      </c>
      <c r="F147" s="21" t="s">
        <v>381</v>
      </c>
      <c r="G147" s="21" t="str">
        <f t="shared" si="14"/>
        <v xml:space="preserve">S16Q99: Ông/bà làm sạch khu chuồng nuôi như thế nào sau khi xuất bán hết gà không? </v>
      </c>
      <c r="H147" s="21"/>
      <c r="I147" s="21" t="s">
        <v>382</v>
      </c>
      <c r="J147" s="21" t="s">
        <v>383</v>
      </c>
      <c r="K147" s="21" t="s">
        <v>40</v>
      </c>
      <c r="L147" s="21"/>
      <c r="M147" s="21"/>
      <c r="N147" s="21"/>
      <c r="O147" s="21"/>
      <c r="P147" s="21"/>
      <c r="Q147" s="21"/>
      <c r="R147" s="21"/>
      <c r="S147" s="21"/>
    </row>
    <row r="148" spans="1:19" x14ac:dyDescent="0.2">
      <c r="A148" s="21" t="s">
        <v>67</v>
      </c>
      <c r="B148" s="21" t="s">
        <v>373</v>
      </c>
      <c r="C148" s="43" t="s">
        <v>384</v>
      </c>
      <c r="D148" s="21" t="s">
        <v>385</v>
      </c>
      <c r="E148" s="22" t="str">
        <f>CONCATENATE(B148,C148,"_",D148)</f>
        <v>s16q100_is_drinkers_clean_protocol</v>
      </c>
      <c r="F148" s="21" t="s">
        <v>386</v>
      </c>
      <c r="G148" s="21" t="str">
        <f>CONCATENATE(UPPER(B148),UPPER(C148),": ",F148)</f>
        <v xml:space="preserve">S16Q100: Trại của ông/bà có quy trình làm sạch và sát trùng máng uống sau mỗi chu kỳ nuôi không? </v>
      </c>
      <c r="H148" s="21"/>
      <c r="I148" s="21"/>
      <c r="J148" s="21"/>
      <c r="K148" s="21" t="s">
        <v>40</v>
      </c>
      <c r="L148" s="21" t="s">
        <v>50</v>
      </c>
      <c r="M148" s="21"/>
      <c r="N148" s="21"/>
      <c r="O148" s="21"/>
      <c r="P148" s="21"/>
      <c r="Q148" s="21"/>
      <c r="R148" s="21"/>
      <c r="S148" s="21"/>
    </row>
    <row r="149" spans="1:19" x14ac:dyDescent="0.2">
      <c r="A149" s="21" t="s">
        <v>67</v>
      </c>
      <c r="B149" s="21" t="s">
        <v>373</v>
      </c>
      <c r="C149" s="43" t="s">
        <v>387</v>
      </c>
      <c r="D149" s="21" t="s">
        <v>388</v>
      </c>
      <c r="E149" s="22" t="str">
        <f>CONCATENATE(B149,C149,"_",D149)</f>
        <v>s16q101_is_feeders_clean_protocol</v>
      </c>
      <c r="F149" s="21" t="s">
        <v>389</v>
      </c>
      <c r="G149" s="21" t="str">
        <f>CONCATENATE(UPPER(B149),UPPER(C149),": ",F149)</f>
        <v xml:space="preserve">S16Q101: Trại của ông/bà có quy trình làm sạch và sát trùng máng ăn sau mỗi chu kỳ nuôi không? </v>
      </c>
      <c r="H149" s="21"/>
      <c r="I149" s="21"/>
      <c r="J149" s="21"/>
      <c r="K149" s="21" t="s">
        <v>40</v>
      </c>
      <c r="L149" s="21" t="s">
        <v>50</v>
      </c>
      <c r="M149" s="21"/>
      <c r="N149" s="21"/>
      <c r="O149" s="21"/>
      <c r="P149" s="21"/>
      <c r="Q149" s="21"/>
      <c r="R149" s="21"/>
      <c r="S149" s="21"/>
    </row>
    <row r="150" spans="1:19" x14ac:dyDescent="0.2">
      <c r="A150" s="21" t="s">
        <v>390</v>
      </c>
      <c r="B150" s="21" t="s">
        <v>373</v>
      </c>
      <c r="C150" s="43" t="s">
        <v>391</v>
      </c>
      <c r="D150" s="21" t="s">
        <v>392</v>
      </c>
      <c r="E150" s="22" t="str">
        <f t="shared" si="13"/>
        <v>s16q102_check_disinfection_outcome</v>
      </c>
      <c r="F150" s="21" t="s">
        <v>393</v>
      </c>
      <c r="G150" s="21" t="str">
        <f t="shared" si="14"/>
        <v xml:space="preserve">S16Q102: Ông/bà có kiểm tra liệu quá trình sát trùng của anh chị có hiệu quả sau mỗi chu kỳ nuôi không? </v>
      </c>
      <c r="H150" s="21"/>
      <c r="I150" s="21"/>
      <c r="J150" s="21"/>
      <c r="K150" s="21" t="s">
        <v>40</v>
      </c>
      <c r="L150" s="21" t="s">
        <v>50</v>
      </c>
      <c r="M150" s="21"/>
      <c r="N150" s="21"/>
      <c r="O150" s="21"/>
      <c r="P150" s="21"/>
      <c r="Q150" s="21"/>
      <c r="R150" s="21"/>
      <c r="S150" s="21"/>
    </row>
    <row r="151" spans="1:19" x14ac:dyDescent="0.2">
      <c r="A151" s="21" t="s">
        <v>88</v>
      </c>
      <c r="B151" s="21" t="s">
        <v>373</v>
      </c>
      <c r="C151" s="43" t="s">
        <v>394</v>
      </c>
      <c r="D151" s="21" t="s">
        <v>395</v>
      </c>
      <c r="E151" s="22" t="str">
        <f t="shared" si="13"/>
        <v>s16q103_resting_period</v>
      </c>
      <c r="F151" s="21" t="s">
        <v>396</v>
      </c>
      <c r="G151" s="21" t="str">
        <f t="shared" si="14"/>
        <v xml:space="preserve">S16Q103: Thời gian trống chuồng giữa các chu kỳ nuôi là bao nhiêu ngày? </v>
      </c>
      <c r="H151" s="21"/>
      <c r="I151" s="21" t="s">
        <v>184</v>
      </c>
      <c r="J151" s="21"/>
      <c r="K151" s="21" t="s">
        <v>40</v>
      </c>
      <c r="L151" s="21"/>
      <c r="M151" s="21"/>
      <c r="N151" s="21"/>
      <c r="O151" s="21"/>
      <c r="P151" s="21"/>
      <c r="Q151" s="21"/>
      <c r="R151" s="21"/>
      <c r="S151" s="21"/>
    </row>
    <row r="152" spans="1:19" x14ac:dyDescent="0.2">
      <c r="A152" s="21" t="s">
        <v>397</v>
      </c>
      <c r="B152" s="21" t="s">
        <v>373</v>
      </c>
      <c r="C152" s="43" t="s">
        <v>398</v>
      </c>
      <c r="D152" s="21" t="s">
        <v>399</v>
      </c>
      <c r="E152" s="22" t="str">
        <f t="shared" si="13"/>
        <v>s16q104_clean_feed_store</v>
      </c>
      <c r="F152" s="21" t="s">
        <v>400</v>
      </c>
      <c r="G152" s="21" t="str">
        <f t="shared" si="14"/>
        <v xml:space="preserve">S16Q104: Ông/bà có dùng các biện pháp nào để giữ khu bảo quản thức ăn cho gà được sạch sẽ không?  </v>
      </c>
      <c r="H152" s="21" t="s">
        <v>401</v>
      </c>
      <c r="I152" s="21" t="s">
        <v>382</v>
      </c>
      <c r="J152" s="21" t="s">
        <v>383</v>
      </c>
      <c r="K152" s="21" t="s">
        <v>40</v>
      </c>
      <c r="L152" s="21"/>
      <c r="M152" s="21"/>
      <c r="N152" s="21"/>
      <c r="O152" s="21"/>
      <c r="P152" s="21"/>
      <c r="Q152" s="21"/>
      <c r="R152" s="21"/>
      <c r="S152" s="21"/>
    </row>
    <row r="153" spans="1:19" x14ac:dyDescent="0.2">
      <c r="A153" s="21" t="s">
        <v>342</v>
      </c>
      <c r="B153" s="21" t="s">
        <v>373</v>
      </c>
      <c r="C153" s="43" t="s">
        <v>402</v>
      </c>
      <c r="D153" s="21" t="s">
        <v>403</v>
      </c>
      <c r="E153" s="22" t="str">
        <f t="shared" si="13"/>
        <v>s16q105_freq_clean_feedstore</v>
      </c>
      <c r="F153" s="21" t="s">
        <v>404</v>
      </c>
      <c r="G153" s="21" t="str">
        <f t="shared" si="14"/>
        <v>S16Q105: Ông/bà thường áp dụng các biện pháp này bao lâu một lần?</v>
      </c>
      <c r="H153" s="21"/>
      <c r="I153" s="21"/>
      <c r="J153" s="21"/>
      <c r="K153" s="21" t="s">
        <v>40</v>
      </c>
      <c r="L153" s="21" t="s">
        <v>50</v>
      </c>
      <c r="M153" s="21" t="str">
        <f>CONCATENATE("not(selected(${",E152,"}, 'none'))")</f>
        <v>not(selected(${s16q104_clean_feed_store}, 'none'))</v>
      </c>
      <c r="N153" s="21"/>
      <c r="O153" s="21"/>
      <c r="P153" s="21"/>
      <c r="Q153" s="21"/>
      <c r="R153" s="21"/>
      <c r="S153" s="21"/>
    </row>
    <row r="154" spans="1:19" x14ac:dyDescent="0.2">
      <c r="A154" s="4" t="s">
        <v>74</v>
      </c>
      <c r="C154" s="7"/>
      <c r="E154" s="6"/>
    </row>
    <row r="155" spans="1:19" x14ac:dyDescent="0.2">
      <c r="A155" s="16" t="s">
        <v>41</v>
      </c>
      <c r="B155" s="16" t="s">
        <v>405</v>
      </c>
      <c r="C155" s="48" t="s">
        <v>43</v>
      </c>
      <c r="D155" s="16" t="s">
        <v>406</v>
      </c>
      <c r="E155" s="17" t="str">
        <f t="shared" si="13"/>
        <v>s17_grp_biosafety</v>
      </c>
      <c r="F155" s="16" t="s">
        <v>331</v>
      </c>
      <c r="G155" s="16" t="str">
        <f t="shared" si="14"/>
        <v>S17: An toàn sinh học</v>
      </c>
      <c r="H155" s="16"/>
      <c r="I155" s="16"/>
      <c r="J155" s="16"/>
      <c r="K155" s="16"/>
      <c r="L155" s="16"/>
      <c r="M155" s="16" t="str">
        <f>CONCATENATE("${",E43,"} &gt; 0")</f>
        <v>${s4q30_total_staff} &gt; 0</v>
      </c>
      <c r="N155" s="16"/>
      <c r="O155" s="16"/>
      <c r="P155" s="16"/>
      <c r="Q155" s="16"/>
      <c r="R155" s="16"/>
      <c r="S155" s="16"/>
    </row>
    <row r="156" spans="1:19" x14ac:dyDescent="0.2">
      <c r="A156" s="16" t="s">
        <v>407</v>
      </c>
      <c r="B156" s="16" t="s">
        <v>405</v>
      </c>
      <c r="C156" s="48" t="s">
        <v>408</v>
      </c>
      <c r="D156" s="16" t="s">
        <v>409</v>
      </c>
      <c r="E156" s="17" t="str">
        <f t="shared" si="13"/>
        <v>s17q106_measures_against_xtransfer</v>
      </c>
      <c r="F156" s="16" t="s">
        <v>410</v>
      </c>
      <c r="G156" s="16" t="str">
        <f t="shared" si="14"/>
        <v>S17Q106: Ông/bà áp dụng các biện pháp nào để đảm bảo là các công nhân khi vào khu chuồng nuôi KHÔNG làm lây dịch bệnh đến đàn gà nuôi?</v>
      </c>
      <c r="H156" s="16"/>
      <c r="I156" s="16" t="s">
        <v>411</v>
      </c>
      <c r="J156" s="16" t="s">
        <v>383</v>
      </c>
      <c r="K156" s="16" t="s">
        <v>40</v>
      </c>
      <c r="L156" s="16"/>
      <c r="M156" s="16"/>
      <c r="N156" s="16"/>
      <c r="O156" s="16"/>
      <c r="P156" s="16"/>
      <c r="Q156" s="16"/>
      <c r="R156" s="16"/>
      <c r="S156" s="16"/>
    </row>
    <row r="157" spans="1:19" x14ac:dyDescent="0.2">
      <c r="A157" s="16" t="s">
        <v>67</v>
      </c>
      <c r="B157" s="16" t="s">
        <v>405</v>
      </c>
      <c r="C157" s="48" t="s">
        <v>412</v>
      </c>
      <c r="D157" s="16" t="s">
        <v>413</v>
      </c>
      <c r="E157" s="17" t="str">
        <f t="shared" si="13"/>
        <v>s17q107_is_show_handwash</v>
      </c>
      <c r="F157" s="16" t="s">
        <v>414</v>
      </c>
      <c r="G157" s="16" t="str">
        <f t="shared" si="14"/>
        <v>S17Q107: Ông/bà có thể (Người chăn nuôi) có thể cho/chỉ cho tôi xem thiết bị/dụng cụ rửa tay không</v>
      </c>
      <c r="H157" s="16" t="s">
        <v>415</v>
      </c>
      <c r="I157" s="16"/>
      <c r="J157" s="16"/>
      <c r="K157" s="16" t="s">
        <v>40</v>
      </c>
      <c r="L157" s="16" t="s">
        <v>50</v>
      </c>
      <c r="M157" s="16" t="str">
        <f>CONCATENATE("selected(${",E156,"},'wash_hands')")</f>
        <v>selected(${s17q106_measures_against_xtransfer},'wash_hands')</v>
      </c>
      <c r="N157" s="16"/>
      <c r="O157" s="16"/>
      <c r="P157" s="16"/>
      <c r="Q157" s="16"/>
      <c r="R157" s="16"/>
      <c r="S157" s="16"/>
    </row>
    <row r="158" spans="1:19" x14ac:dyDescent="0.2">
      <c r="A158" s="16" t="s">
        <v>67</v>
      </c>
      <c r="B158" s="16" t="s">
        <v>405</v>
      </c>
      <c r="C158" s="48" t="s">
        <v>416</v>
      </c>
      <c r="D158" s="16" t="s">
        <v>417</v>
      </c>
      <c r="E158" s="17" t="str">
        <f t="shared" si="13"/>
        <v>s17q108_is_show_disinfectant</v>
      </c>
      <c r="F158" s="16" t="s">
        <v>418</v>
      </c>
      <c r="G158" s="16" t="str">
        <f t="shared" si="14"/>
        <v xml:space="preserve">S17Q108: Anh/chị (Điều tra viên) có thể (TỰ) quan sát thấy/được dụng cụ/chất sát trùng không? </v>
      </c>
      <c r="H158" s="16"/>
      <c r="I158" s="16"/>
      <c r="J158" s="16"/>
      <c r="K158" s="16" t="s">
        <v>40</v>
      </c>
      <c r="L158" s="16" t="s">
        <v>50</v>
      </c>
      <c r="M158" s="16" t="str">
        <f>CONCATENATE("selected(${",E156,"},'disinfect_hands')")</f>
        <v>selected(${s17q106_measures_against_xtransfer},'disinfect_hands')</v>
      </c>
      <c r="N158" s="16"/>
      <c r="O158" s="16"/>
      <c r="P158" s="16"/>
      <c r="Q158" s="16"/>
      <c r="R158" s="16"/>
      <c r="S158" s="16"/>
    </row>
    <row r="159" spans="1:19" x14ac:dyDescent="0.2">
      <c r="A159" s="16" t="s">
        <v>67</v>
      </c>
      <c r="B159" s="16" t="s">
        <v>405</v>
      </c>
      <c r="C159" s="48" t="s">
        <v>419</v>
      </c>
      <c r="D159" s="16" t="s">
        <v>420</v>
      </c>
      <c r="E159" s="17" t="str">
        <f t="shared" si="13"/>
        <v>s17q109_is_wear_ppe</v>
      </c>
      <c r="F159" s="16" t="s">
        <v>421</v>
      </c>
      <c r="G159" s="16" t="str">
        <f t="shared" si="14"/>
        <v xml:space="preserve">S17Q109: Có công nhân nào cũng nuôi gà hoặc các loài chim/gia cầm khác tại nhà của họ không? </v>
      </c>
      <c r="H159" s="16"/>
      <c r="I159" s="16"/>
      <c r="J159" s="16"/>
      <c r="K159" s="16" t="s">
        <v>40</v>
      </c>
      <c r="L159" s="16" t="s">
        <v>50</v>
      </c>
      <c r="M159" s="16" t="str">
        <f>CONCATENATE("selected(${",E156,"},'wear_ppe')")</f>
        <v>selected(${s17q106_measures_against_xtransfer},'wear_ppe')</v>
      </c>
      <c r="N159" s="16"/>
      <c r="O159" s="16"/>
      <c r="P159" s="16"/>
      <c r="Q159" s="16"/>
      <c r="R159" s="16"/>
      <c r="S159" s="16"/>
    </row>
    <row r="160" spans="1:19" x14ac:dyDescent="0.2">
      <c r="A160" s="16" t="s">
        <v>67</v>
      </c>
      <c r="B160" s="16" t="s">
        <v>405</v>
      </c>
      <c r="C160" s="48" t="s">
        <v>422</v>
      </c>
      <c r="D160" s="16" t="s">
        <v>423</v>
      </c>
      <c r="E160" s="17" t="str">
        <f t="shared" si="13"/>
        <v>s17q110_is_workers_wash_hands_b4_enter</v>
      </c>
      <c r="F160" s="16" t="s">
        <v>424</v>
      </c>
      <c r="G160" s="16" t="str">
        <f t="shared" si="14"/>
        <v xml:space="preserve">S17Q110: Có công nhân nào cũng đồng thời làm việc cho trại gà khác không? </v>
      </c>
      <c r="H160" s="16"/>
      <c r="I160" s="16"/>
      <c r="J160" s="16"/>
      <c r="K160" s="16" t="s">
        <v>40</v>
      </c>
      <c r="L160" s="16" t="s">
        <v>50</v>
      </c>
      <c r="M160" s="16"/>
      <c r="N160" s="16"/>
      <c r="O160" s="16"/>
      <c r="P160" s="16"/>
      <c r="Q160" s="16"/>
      <c r="R160" s="16"/>
      <c r="S160" s="16"/>
    </row>
    <row r="161" spans="1:19" x14ac:dyDescent="0.2">
      <c r="A161" s="16" t="s">
        <v>67</v>
      </c>
      <c r="B161" s="16" t="s">
        <v>405</v>
      </c>
      <c r="C161" s="48" t="s">
        <v>425</v>
      </c>
      <c r="D161" s="16" t="s">
        <v>426</v>
      </c>
      <c r="E161" s="17" t="str">
        <f t="shared" si="13"/>
        <v>s17q111_is_workers_keep_poultry</v>
      </c>
      <c r="F161" s="16" t="s">
        <v>421</v>
      </c>
      <c r="G161" s="16" t="str">
        <f t="shared" si="14"/>
        <v xml:space="preserve">S17Q111: Có công nhân nào cũng nuôi gà hoặc các loài chim/gia cầm khác tại nhà của họ không? </v>
      </c>
      <c r="H161" s="16"/>
      <c r="I161" s="16"/>
      <c r="J161" s="16"/>
      <c r="K161" s="16" t="s">
        <v>40</v>
      </c>
      <c r="L161" s="16" t="s">
        <v>50</v>
      </c>
      <c r="M161" s="16"/>
      <c r="N161" s="16"/>
      <c r="O161" s="16"/>
      <c r="P161" s="16"/>
      <c r="Q161" s="16"/>
      <c r="R161" s="16"/>
      <c r="S161" s="16"/>
    </row>
    <row r="162" spans="1:19" x14ac:dyDescent="0.2">
      <c r="A162" s="16" t="s">
        <v>67</v>
      </c>
      <c r="B162" s="16" t="s">
        <v>405</v>
      </c>
      <c r="C162" s="48" t="s">
        <v>427</v>
      </c>
      <c r="D162" s="16" t="s">
        <v>428</v>
      </c>
      <c r="E162" s="17" t="str">
        <f t="shared" si="13"/>
        <v>s17q112_is_workers_work_elsewhere</v>
      </c>
      <c r="F162" s="16" t="s">
        <v>424</v>
      </c>
      <c r="G162" s="16" t="str">
        <f t="shared" si="14"/>
        <v xml:space="preserve">S17Q112: Có công nhân nào cũng đồng thời làm việc cho trại gà khác không? </v>
      </c>
      <c r="H162" s="16"/>
      <c r="I162" s="16"/>
      <c r="J162" s="16"/>
      <c r="K162" s="16" t="s">
        <v>40</v>
      </c>
      <c r="L162" s="16" t="s">
        <v>50</v>
      </c>
      <c r="M162" s="16"/>
      <c r="N162" s="16"/>
      <c r="O162" s="16"/>
      <c r="P162" s="16"/>
      <c r="Q162" s="16"/>
      <c r="R162" s="16"/>
      <c r="S162" s="16"/>
    </row>
    <row r="163" spans="1:19" x14ac:dyDescent="0.2">
      <c r="A163" s="4" t="s">
        <v>74</v>
      </c>
      <c r="C163" s="7" t="s">
        <v>43</v>
      </c>
      <c r="E163" s="6"/>
    </row>
    <row r="164" spans="1:19" x14ac:dyDescent="0.2">
      <c r="A164" s="16" t="s">
        <v>67</v>
      </c>
      <c r="B164" s="16" t="s">
        <v>405</v>
      </c>
      <c r="C164" s="48" t="s">
        <v>429</v>
      </c>
      <c r="D164" s="16" t="s">
        <v>430</v>
      </c>
      <c r="E164" s="17" t="str">
        <f t="shared" si="13"/>
        <v>s17q113_is_entry_by_others</v>
      </c>
      <c r="F164" s="16" t="s">
        <v>431</v>
      </c>
      <c r="G164" s="16" t="str">
        <f t="shared" si="14"/>
        <v xml:space="preserve">S17Q113: Có người nào không phải là công nhân của trại (như người mua buôn, bác sỹ thú y) thỉnh thoảng vẫn vào trong chuồng nuôi gà ông/bà? </v>
      </c>
      <c r="H164" s="16"/>
      <c r="I164" s="16"/>
      <c r="J164" s="16"/>
      <c r="K164" s="16" t="s">
        <v>40</v>
      </c>
      <c r="L164" s="16" t="s">
        <v>50</v>
      </c>
      <c r="M164" s="16"/>
      <c r="N164" s="16"/>
      <c r="O164" s="16"/>
      <c r="P164" s="16"/>
      <c r="Q164" s="16"/>
      <c r="R164" s="16"/>
      <c r="S164" s="16"/>
    </row>
    <row r="165" spans="1:19" x14ac:dyDescent="0.2">
      <c r="A165" s="50" t="s">
        <v>432</v>
      </c>
      <c r="B165" s="16" t="s">
        <v>405</v>
      </c>
      <c r="C165" s="48" t="s">
        <v>433</v>
      </c>
      <c r="D165" s="50" t="s">
        <v>434</v>
      </c>
      <c r="E165" s="51" t="str">
        <f>CONCATENATE(B165,C165,"_",D165)</f>
        <v>s17q114_is_visitor_entry_protocol</v>
      </c>
      <c r="F165" s="50" t="s">
        <v>435</v>
      </c>
      <c r="G165" s="50" t="str">
        <f>CONCATENATE(UPPER(B165),UPPER(C165),": ",F165)</f>
        <v xml:space="preserve">S17Q114: Trại của ông/bà áp dụng có quy trình nào cụ thể để kiểm soát việc vào trong khu chuồng trại trong trường hợp cần thiết không? </v>
      </c>
      <c r="H165" s="50"/>
      <c r="I165" s="50"/>
      <c r="J165" s="50"/>
      <c r="K165" s="50" t="s">
        <v>40</v>
      </c>
      <c r="L165" s="50" t="s">
        <v>50</v>
      </c>
      <c r="M165" s="50"/>
      <c r="N165" s="50"/>
      <c r="O165" s="50"/>
      <c r="P165" s="50"/>
      <c r="Q165" s="50"/>
      <c r="R165" s="50"/>
      <c r="S165" s="50"/>
    </row>
    <row r="166" spans="1:19" x14ac:dyDescent="0.2">
      <c r="A166" s="50" t="s">
        <v>436</v>
      </c>
      <c r="B166" s="16" t="s">
        <v>405</v>
      </c>
      <c r="C166" s="48" t="s">
        <v>437</v>
      </c>
      <c r="D166" s="50" t="s">
        <v>438</v>
      </c>
      <c r="E166" s="51" t="str">
        <f>CONCATENATE(B166,C166,"_",D166)</f>
        <v>s17q115_entry_protocol</v>
      </c>
      <c r="F166" s="50" t="s">
        <v>439</v>
      </c>
      <c r="G166" s="50" t="str">
        <f>CONCATENATE(UPPER(B166),UPPER(C166),": ",F166)</f>
        <v>S17Q115: Đó là quy trình cụ thể nào mà ông/bà áp dụng để kiểm soát việc vào trong khu chuồng trại trong trường hợp cần thiết?</v>
      </c>
      <c r="H166" s="50"/>
      <c r="I166" s="50"/>
      <c r="J166" s="50"/>
      <c r="K166" s="50" t="s">
        <v>40</v>
      </c>
      <c r="L166" s="50"/>
      <c r="M166" s="50" t="str">
        <f>CONCATENATE("selected(${",E165,"},'yes')")</f>
        <v>selected(${s17q114_is_visitor_entry_protocol},'yes')</v>
      </c>
      <c r="N166" s="50"/>
      <c r="O166" s="50"/>
      <c r="P166" s="50"/>
      <c r="Q166" s="50"/>
      <c r="R166" s="50"/>
      <c r="S166" s="50"/>
    </row>
    <row r="167" spans="1:19" x14ac:dyDescent="0.2">
      <c r="A167" s="23" t="s">
        <v>41</v>
      </c>
      <c r="B167" s="23" t="s">
        <v>440</v>
      </c>
      <c r="C167" s="44" t="s">
        <v>43</v>
      </c>
      <c r="D167" s="23" t="s">
        <v>441</v>
      </c>
      <c r="E167" s="24" t="str">
        <f t="shared" si="13"/>
        <v>s18_grp_wild_pets</v>
      </c>
      <c r="F167" s="23" t="s">
        <v>442</v>
      </c>
      <c r="G167" s="23" t="str">
        <f t="shared" si="14"/>
        <v>S18: Chim hoang dã và các vật nuôi làm cảnh</v>
      </c>
      <c r="H167" s="23"/>
      <c r="I167" s="23"/>
      <c r="J167" s="23"/>
      <c r="K167" s="23"/>
      <c r="L167" s="23"/>
      <c r="M167" s="23"/>
      <c r="N167" s="23"/>
      <c r="O167" s="23"/>
      <c r="P167" s="23"/>
      <c r="Q167" s="23"/>
      <c r="R167" s="23"/>
      <c r="S167" s="23"/>
    </row>
    <row r="168" spans="1:19" x14ac:dyDescent="0.2">
      <c r="A168" s="23" t="s">
        <v>443</v>
      </c>
      <c r="B168" s="23" t="s">
        <v>440</v>
      </c>
      <c r="C168" s="44" t="s">
        <v>444</v>
      </c>
      <c r="D168" s="23" t="s">
        <v>445</v>
      </c>
      <c r="E168" s="24" t="str">
        <f t="shared" si="13"/>
        <v>s18q116_distance2near_farm</v>
      </c>
      <c r="F168" s="23" t="s">
        <v>446</v>
      </c>
      <c r="G168" s="23" t="str">
        <f t="shared" si="14"/>
        <v>S18Q116: Khoảng cách (theo đường thẳng) của trại ông/bà với trại gà gần nhất là bao xa?</v>
      </c>
      <c r="H168" s="23"/>
      <c r="I168" s="23"/>
      <c r="J168" s="23"/>
      <c r="K168" s="23" t="s">
        <v>40</v>
      </c>
      <c r="L168" s="23" t="s">
        <v>50</v>
      </c>
      <c r="M168" s="23"/>
      <c r="N168" s="23"/>
      <c r="O168" s="23"/>
      <c r="P168" s="23"/>
      <c r="Q168" s="23"/>
      <c r="R168" s="23"/>
      <c r="S168" s="23"/>
    </row>
    <row r="169" spans="1:19" x14ac:dyDescent="0.2">
      <c r="A169" s="23" t="s">
        <v>67</v>
      </c>
      <c r="B169" s="23" t="s">
        <v>440</v>
      </c>
      <c r="C169" s="44" t="s">
        <v>447</v>
      </c>
      <c r="D169" s="23" t="s">
        <v>448</v>
      </c>
      <c r="E169" s="24" t="str">
        <f t="shared" si="13"/>
        <v>s18q117_is_wild_birds_entry</v>
      </c>
      <c r="F169" s="23" t="s">
        <v>449</v>
      </c>
      <c r="G169" s="23" t="str">
        <f t="shared" si="14"/>
        <v>S18Q117: Các loài gia cầm/chim hoang dã có thể vào được khu chuồng nuôi gà không?</v>
      </c>
      <c r="H169" s="23"/>
      <c r="I169" s="23"/>
      <c r="J169" s="23"/>
      <c r="K169" s="23" t="s">
        <v>40</v>
      </c>
      <c r="L169" s="23" t="s">
        <v>50</v>
      </c>
      <c r="M169" s="23"/>
      <c r="N169" s="23"/>
      <c r="O169" s="23"/>
      <c r="P169" s="23"/>
      <c r="Q169" s="23"/>
      <c r="R169" s="23"/>
      <c r="S169" s="23"/>
    </row>
    <row r="170" spans="1:19" x14ac:dyDescent="0.2">
      <c r="A170" s="23" t="s">
        <v>67</v>
      </c>
      <c r="B170" s="23" t="s">
        <v>440</v>
      </c>
      <c r="C170" s="44" t="s">
        <v>450</v>
      </c>
      <c r="D170" s="23" t="s">
        <v>451</v>
      </c>
      <c r="E170" s="24" t="str">
        <f t="shared" si="13"/>
        <v>s18q118_is_seen_wild_birds</v>
      </c>
      <c r="F170" s="23" t="s">
        <v>2490</v>
      </c>
      <c r="G170" s="23" t="str">
        <f t="shared" si="14"/>
        <v>S18Q118: Ông/bà đã từng nhìn thấy chim hoang dã vào khu chuồng nuôi gà của ông/bà không?</v>
      </c>
      <c r="H170" s="23"/>
      <c r="I170" s="23"/>
      <c r="J170" s="23"/>
      <c r="K170" s="23" t="s">
        <v>40</v>
      </c>
      <c r="L170" s="23" t="s">
        <v>50</v>
      </c>
      <c r="M170" s="23" t="str">
        <f>CONCATENATE("selected(${",E169,"},'yes')")</f>
        <v>selected(${s18q117_is_wild_birds_entry},'yes')</v>
      </c>
      <c r="N170" s="23"/>
      <c r="O170" s="23"/>
      <c r="P170" s="23"/>
      <c r="Q170" s="23"/>
      <c r="R170" s="23"/>
      <c r="S170" s="23"/>
    </row>
    <row r="171" spans="1:19" x14ac:dyDescent="0.2">
      <c r="A171" s="23" t="s">
        <v>452</v>
      </c>
      <c r="B171" s="23" t="s">
        <v>440</v>
      </c>
      <c r="C171" s="44" t="s">
        <v>453</v>
      </c>
      <c r="D171" s="23" t="s">
        <v>454</v>
      </c>
      <c r="E171" s="24" t="str">
        <f t="shared" si="13"/>
        <v>s18q119_freq_vermin_problem</v>
      </c>
      <c r="F171" s="23" t="s">
        <v>455</v>
      </c>
      <c r="G171" s="23" t="str">
        <f t="shared" si="14"/>
        <v>S18Q119: Loài gặm nhấm (chuột, …) có phải làm vấn đề của trại của gà của anh chị không?</v>
      </c>
      <c r="H171" s="23"/>
      <c r="I171" s="23"/>
      <c r="J171" s="23"/>
      <c r="K171" s="23" t="s">
        <v>40</v>
      </c>
      <c r="L171" s="23" t="s">
        <v>50</v>
      </c>
      <c r="M171" s="23"/>
      <c r="N171" s="23"/>
      <c r="O171" s="23"/>
      <c r="P171" s="23"/>
      <c r="Q171" s="23"/>
      <c r="R171" s="23"/>
      <c r="S171" s="23"/>
    </row>
    <row r="172" spans="1:19" x14ac:dyDescent="0.2">
      <c r="A172" s="23" t="s">
        <v>456</v>
      </c>
      <c r="B172" s="23" t="s">
        <v>440</v>
      </c>
      <c r="C172" s="44" t="s">
        <v>457</v>
      </c>
      <c r="D172" s="23" t="s">
        <v>458</v>
      </c>
      <c r="E172" s="24" t="str">
        <f t="shared" si="13"/>
        <v>s18q120_is_pets</v>
      </c>
      <c r="F172" s="23" t="s">
        <v>459</v>
      </c>
      <c r="G172" s="23" t="str">
        <f t="shared" si="14"/>
        <v>S18Q120: Có loài thú cưng nào có ở trong khu trang trại (chó và mèo)?</v>
      </c>
      <c r="H172" s="23"/>
      <c r="I172" s="23" t="s">
        <v>382</v>
      </c>
      <c r="J172" s="23" t="s">
        <v>383</v>
      </c>
      <c r="K172" s="23" t="s">
        <v>40</v>
      </c>
      <c r="L172" s="23"/>
      <c r="M172" s="23"/>
      <c r="N172" s="23"/>
      <c r="O172" s="23"/>
      <c r="P172" s="23"/>
      <c r="Q172" s="23"/>
      <c r="R172" s="23"/>
      <c r="S172" s="23"/>
    </row>
    <row r="173" spans="1:19" x14ac:dyDescent="0.2">
      <c r="A173" s="23" t="s">
        <v>67</v>
      </c>
      <c r="B173" s="23" t="s">
        <v>440</v>
      </c>
      <c r="C173" s="44" t="s">
        <v>460</v>
      </c>
      <c r="D173" s="23" t="s">
        <v>461</v>
      </c>
      <c r="E173" s="24" t="str">
        <f t="shared" si="13"/>
        <v>s18q121_is_pets_access_coop</v>
      </c>
      <c r="F173" s="23" t="s">
        <v>462</v>
      </c>
      <c r="G173" s="23" t="str">
        <f t="shared" si="14"/>
        <v xml:space="preserve">S18Q121: Các loài thú cưng này có thể vào được khu chuồng nuôi không?  </v>
      </c>
      <c r="H173" s="23"/>
      <c r="I173" s="23"/>
      <c r="J173" s="23"/>
      <c r="K173" s="23" t="s">
        <v>40</v>
      </c>
      <c r="L173" s="23" t="s">
        <v>50</v>
      </c>
      <c r="M173" s="23" t="str">
        <f>CONCATENATE("not(selected(${",E172,"},'none'))")</f>
        <v>not(selected(${s18q120_is_pets},'none'))</v>
      </c>
      <c r="N173" s="23"/>
      <c r="O173" s="23"/>
      <c r="P173" s="23"/>
      <c r="Q173" s="23"/>
      <c r="R173" s="23"/>
      <c r="S173" s="23"/>
    </row>
    <row r="174" spans="1:19" x14ac:dyDescent="0.2">
      <c r="A174" s="23" t="s">
        <v>67</v>
      </c>
      <c r="B174" s="23" t="s">
        <v>440</v>
      </c>
      <c r="C174" s="44" t="s">
        <v>463</v>
      </c>
      <c r="D174" s="23" t="s">
        <v>464</v>
      </c>
      <c r="E174" s="24" t="str">
        <f>CONCATENATE(B174,C174,"_",D174)</f>
        <v>s18q122_is_backyard_chicken</v>
      </c>
      <c r="F174" s="23" t="s">
        <v>465</v>
      </c>
      <c r="G174" s="23" t="str">
        <f>CONCATENATE(UPPER(B174),UPPER(C174),": ",F174)</f>
        <v xml:space="preserve">S18Q122: Ông/bà có nuôi gà thả vườn/gà cảnh trong trại của mình không? </v>
      </c>
      <c r="H174" s="23"/>
      <c r="I174" s="23"/>
      <c r="J174" s="23"/>
      <c r="K174" s="23" t="s">
        <v>40</v>
      </c>
      <c r="L174" s="23" t="s">
        <v>50</v>
      </c>
      <c r="M174" s="23"/>
      <c r="N174" s="23"/>
      <c r="O174" s="23"/>
      <c r="P174" s="23"/>
      <c r="Q174" s="23"/>
      <c r="R174" s="23"/>
      <c r="S174" s="23"/>
    </row>
    <row r="175" spans="1:19" x14ac:dyDescent="0.2">
      <c r="A175" s="4" t="s">
        <v>74</v>
      </c>
      <c r="C175" s="7" t="s">
        <v>43</v>
      </c>
      <c r="E175" s="6"/>
    </row>
    <row r="176" spans="1:19" x14ac:dyDescent="0.2">
      <c r="A176" s="25" t="s">
        <v>67</v>
      </c>
      <c r="B176" s="25" t="s">
        <v>466</v>
      </c>
      <c r="C176" s="49" t="s">
        <v>467</v>
      </c>
      <c r="D176" s="25" t="s">
        <v>468</v>
      </c>
      <c r="E176" s="5" t="str">
        <f>CONCATENATE(B176,C176,"_",D176)</f>
        <v>s19q123_is_sep_area4carcass</v>
      </c>
      <c r="F176" s="25" t="str">
        <f>CONCATENATE("&lt;span style='color:blue;'&gt;HỎI&lt;/span&gt;: Trại của ông/bà có khu để xác gà chết riêng biệt (phía ngoài khu chuồng nuôi) không?")</f>
        <v>&lt;span style='color:blue;'&gt;HỎI&lt;/span&gt;: Trại của ông/bà có khu để xác gà chết riêng biệt (phía ngoài khu chuồng nuôi) không?</v>
      </c>
      <c r="G176" s="25" t="str">
        <f>CONCATENATE(UPPER(B176),UPPER(C176),": ",F176)</f>
        <v>S19Q123: &lt;span style='color:blue;'&gt;HỎI&lt;/span&gt;: Trại của ông/bà có khu để xác gà chết riêng biệt (phía ngoài khu chuồng nuôi) không?</v>
      </c>
      <c r="H176" s="25"/>
      <c r="I176" s="25"/>
      <c r="J176" s="25"/>
      <c r="K176" s="25" t="s">
        <v>40</v>
      </c>
      <c r="L176" s="25" t="s">
        <v>50</v>
      </c>
      <c r="M176" s="25"/>
      <c r="N176" s="25"/>
      <c r="O176" s="25"/>
      <c r="P176" s="25"/>
      <c r="Q176" s="25"/>
      <c r="R176" s="25"/>
      <c r="S176" s="25"/>
    </row>
    <row r="177" spans="1:19" x14ac:dyDescent="0.2">
      <c r="A177" s="25" t="s">
        <v>41</v>
      </c>
      <c r="B177" s="25" t="s">
        <v>466</v>
      </c>
      <c r="C177" s="49" t="s">
        <v>43</v>
      </c>
      <c r="D177" s="25" t="s">
        <v>469</v>
      </c>
      <c r="E177" s="5" t="str">
        <f t="shared" si="13"/>
        <v>s19_grp_carcass</v>
      </c>
      <c r="F177" s="25" t="s">
        <v>470</v>
      </c>
      <c r="G177" s="25" t="str">
        <f t="shared" si="14"/>
        <v>S19: Quản lý xác gà bị chết</v>
      </c>
      <c r="H177" s="25"/>
      <c r="I177" s="25"/>
      <c r="J177" s="25"/>
      <c r="K177" s="25"/>
      <c r="L177" s="25"/>
      <c r="M177" s="25" t="str">
        <f>CONCATENATE("selected(${",E176,"},'yes')")</f>
        <v>selected(${s19q123_is_sep_area4carcass},'yes')</v>
      </c>
      <c r="N177" s="25"/>
      <c r="O177" s="25"/>
      <c r="P177" s="25"/>
      <c r="Q177" s="25"/>
      <c r="R177" s="25"/>
      <c r="S177" s="25"/>
    </row>
    <row r="178" spans="1:19" x14ac:dyDescent="0.2">
      <c r="A178" s="25" t="s">
        <v>67</v>
      </c>
      <c r="B178" s="25" t="s">
        <v>466</v>
      </c>
      <c r="C178" s="49" t="s">
        <v>471</v>
      </c>
      <c r="D178" s="25" t="s">
        <v>472</v>
      </c>
      <c r="E178" s="5" t="str">
        <f t="shared" si="13"/>
        <v>s19q124_is_see_carcass_area</v>
      </c>
      <c r="F178" s="25" t="str">
        <f>CONCATENATE("&lt;span style='color:blue;'&gt;QUAN SÁT&lt;/span&gt;: Điều tra viên hỏi để đến quan sát nơi để xác gà chết. Bạn/Điều tra viên có thể nhìn thấy khu đó không?")</f>
        <v>&lt;span style='color:blue;'&gt;QUAN SÁT&lt;/span&gt;: Điều tra viên hỏi để đến quan sát nơi để xác gà chết. Bạn/Điều tra viên có thể nhìn thấy khu đó không?</v>
      </c>
      <c r="G178" s="25" t="str">
        <f t="shared" si="14"/>
        <v>S19Q124: &lt;span style='color:blue;'&gt;QUAN SÁT&lt;/span&gt;: Điều tra viên hỏi để đến quan sát nơi để xác gà chết. Bạn/Điều tra viên có thể nhìn thấy khu đó không?</v>
      </c>
      <c r="H178" s="25"/>
      <c r="I178" s="25"/>
      <c r="J178" s="25"/>
      <c r="K178" s="25" t="s">
        <v>40</v>
      </c>
      <c r="L178" s="25" t="s">
        <v>50</v>
      </c>
      <c r="M178" s="25"/>
      <c r="N178" s="25"/>
      <c r="O178" s="25"/>
      <c r="P178" s="25"/>
      <c r="Q178" s="25"/>
      <c r="R178" s="25"/>
      <c r="S178" s="25"/>
    </row>
    <row r="179" spans="1:19" x14ac:dyDescent="0.2">
      <c r="A179" s="25" t="s">
        <v>332</v>
      </c>
      <c r="B179" s="25" t="s">
        <v>466</v>
      </c>
      <c r="C179" s="49" t="s">
        <v>473</v>
      </c>
      <c r="D179" s="25" t="s">
        <v>474</v>
      </c>
      <c r="E179" s="5" t="str">
        <f t="shared" si="13"/>
        <v>s19q125_is_carcass_area_protected</v>
      </c>
      <c r="F179" s="25" t="str">
        <f>CONCATENATE("&lt;span style='color:blue;'&gt;QUAN SÁT&lt;/span&gt;: Khu để xác gà chết có ngăn cách với sâu bọ, mèo và/hoặc chó?")</f>
        <v>&lt;span style='color:blue;'&gt;QUAN SÁT&lt;/span&gt;: Khu để xác gà chết có ngăn cách với sâu bọ, mèo và/hoặc chó?</v>
      </c>
      <c r="G179" s="25" t="str">
        <f t="shared" si="14"/>
        <v>S19Q125: &lt;span style='color:blue;'&gt;QUAN SÁT&lt;/span&gt;: Khu để xác gà chết có ngăn cách với sâu bọ, mèo và/hoặc chó?</v>
      </c>
      <c r="H179" s="25"/>
      <c r="I179" s="25"/>
      <c r="J179" s="25"/>
      <c r="K179" s="25" t="s">
        <v>40</v>
      </c>
      <c r="L179" s="25" t="s">
        <v>50</v>
      </c>
      <c r="M179" s="25"/>
      <c r="N179" s="25"/>
      <c r="O179" s="25"/>
      <c r="P179" s="25"/>
      <c r="Q179" s="25"/>
      <c r="R179" s="25"/>
      <c r="S179" s="25"/>
    </row>
    <row r="180" spans="1:19" x14ac:dyDescent="0.2">
      <c r="A180" s="25" t="s">
        <v>397</v>
      </c>
      <c r="B180" s="25" t="s">
        <v>466</v>
      </c>
      <c r="C180" s="49" t="s">
        <v>475</v>
      </c>
      <c r="D180" s="25" t="s">
        <v>476</v>
      </c>
      <c r="E180" s="5" t="str">
        <f t="shared" si="13"/>
        <v>s19q126_carcass_clean_measures</v>
      </c>
      <c r="F180" s="25" t="str">
        <f>CONCATENATE("&lt;span style='color:blue;'&gt;HỎI&lt;/span&gt;: Ông/bà có dùng các biện pháp nào để giữ khu để xác gà chết được sạch sẽ không?")</f>
        <v>&lt;span style='color:blue;'&gt;HỎI&lt;/span&gt;: Ông/bà có dùng các biện pháp nào để giữ khu để xác gà chết được sạch sẽ không?</v>
      </c>
      <c r="G180" s="25" t="str">
        <f t="shared" si="14"/>
        <v>S19Q126: &lt;span style='color:blue;'&gt;HỎI&lt;/span&gt;: Ông/bà có dùng các biện pháp nào để giữ khu để xác gà chết được sạch sẽ không?</v>
      </c>
      <c r="H180" s="25" t="s">
        <v>401</v>
      </c>
      <c r="I180" s="25" t="s">
        <v>382</v>
      </c>
      <c r="J180" s="25" t="s">
        <v>383</v>
      </c>
      <c r="K180" s="25" t="s">
        <v>40</v>
      </c>
      <c r="L180" s="25"/>
      <c r="M180" s="25"/>
      <c r="N180" s="25"/>
      <c r="O180" s="25"/>
      <c r="P180" s="25"/>
      <c r="Q180" s="25"/>
      <c r="R180" s="25"/>
      <c r="S180" s="25"/>
    </row>
    <row r="181" spans="1:19" x14ac:dyDescent="0.2">
      <c r="A181" s="25" t="s">
        <v>477</v>
      </c>
      <c r="B181" s="25" t="s">
        <v>466</v>
      </c>
      <c r="C181" s="49" t="s">
        <v>478</v>
      </c>
      <c r="D181" s="25" t="s">
        <v>479</v>
      </c>
      <c r="E181" s="5" t="str">
        <f t="shared" si="13"/>
        <v>s19q127_freq_carcass_clean_measures</v>
      </c>
      <c r="F181" s="25" t="s">
        <v>404</v>
      </c>
      <c r="G181" s="25" t="str">
        <f t="shared" si="14"/>
        <v>S19Q127: Ông/bà thường áp dụng các biện pháp này bao lâu một lần?</v>
      </c>
      <c r="H181" s="25"/>
      <c r="I181" s="25"/>
      <c r="J181" s="25"/>
      <c r="K181" s="25" t="s">
        <v>40</v>
      </c>
      <c r="L181" s="25" t="s">
        <v>50</v>
      </c>
      <c r="M181" s="25" t="str">
        <f>CONCATENATE("not(selected(${",E180,"},'none'))")</f>
        <v>not(selected(${s19q126_carcass_clean_measures},'none'))</v>
      </c>
      <c r="N181" s="25"/>
      <c r="O181" s="25"/>
      <c r="P181" s="25"/>
      <c r="Q181" s="25"/>
      <c r="R181" s="25"/>
      <c r="S181" s="25"/>
    </row>
    <row r="182" spans="1:19" x14ac:dyDescent="0.2">
      <c r="A182" s="25" t="s">
        <v>390</v>
      </c>
      <c r="B182" s="25" t="s">
        <v>466</v>
      </c>
      <c r="C182" s="49" t="s">
        <v>480</v>
      </c>
      <c r="D182" s="25" t="s">
        <v>481</v>
      </c>
      <c r="E182" s="5" t="str">
        <f t="shared" si="13"/>
        <v>s19q128_freq_carcass_disinfected</v>
      </c>
      <c r="F182" s="25" t="s">
        <v>482</v>
      </c>
      <c r="G182" s="25" t="str">
        <f t="shared" si="14"/>
        <v>S19Q128: Khu để xác gà chết có được làm sạch và khử khuẩn sau mỗi lần sử dụng không?</v>
      </c>
      <c r="H182" s="25"/>
      <c r="I182" s="25"/>
      <c r="J182" s="25"/>
      <c r="K182" s="25" t="s">
        <v>40</v>
      </c>
      <c r="L182" s="25" t="s">
        <v>50</v>
      </c>
      <c r="M182" s="25"/>
      <c r="N182" s="25"/>
      <c r="O182" s="25"/>
      <c r="P182" s="25"/>
      <c r="Q182" s="25"/>
      <c r="R182" s="25"/>
      <c r="S182" s="25"/>
    </row>
    <row r="183" spans="1:19" x14ac:dyDescent="0.2">
      <c r="A183" s="4" t="s">
        <v>74</v>
      </c>
      <c r="C183" s="4" t="s">
        <v>43</v>
      </c>
    </row>
    <row r="184" spans="1:19" x14ac:dyDescent="0.2">
      <c r="A184" s="25" t="s">
        <v>41</v>
      </c>
      <c r="B184" s="25" t="s">
        <v>483</v>
      </c>
      <c r="C184" s="25" t="s">
        <v>43</v>
      </c>
      <c r="D184" s="25" t="s">
        <v>484</v>
      </c>
      <c r="E184" s="5" t="str">
        <f>CONCATENATE(B184,C184,"_",D184)</f>
        <v>s20_grp_disease_area</v>
      </c>
      <c r="F184" s="25" t="s">
        <v>485</v>
      </c>
      <c r="G184" s="25" t="str">
        <f>CONCATENATE(UPPER(B184),UPPER(C184),": ",F184)</f>
        <v>S20: Khu vực cho gà bệnh</v>
      </c>
      <c r="H184" s="25"/>
      <c r="I184" s="25"/>
      <c r="J184" s="25"/>
      <c r="K184" s="25"/>
      <c r="L184" s="25"/>
      <c r="M184" s="25"/>
      <c r="N184" s="25"/>
      <c r="O184" s="25"/>
      <c r="P184" s="25"/>
      <c r="Q184" s="25"/>
      <c r="R184" s="25"/>
      <c r="S184" s="25"/>
    </row>
    <row r="185" spans="1:19" x14ac:dyDescent="0.2">
      <c r="A185" s="49" t="s">
        <v>67</v>
      </c>
      <c r="B185" s="25" t="s">
        <v>483</v>
      </c>
      <c r="C185" s="49" t="s">
        <v>486</v>
      </c>
      <c r="D185" s="25" t="s">
        <v>487</v>
      </c>
      <c r="E185" s="5" t="str">
        <f>CONCATENATE(B185,C185,"_",D185)</f>
        <v>s20q129_is_sep_area4diseased</v>
      </c>
      <c r="F185" s="25" t="str">
        <f>CONCATENATE("&lt;span style='color:blue;'&gt;HỎI&lt;/span&gt;: Trại của ông/bà có khu riêng biệt để cho gà bệnh không?")</f>
        <v>&lt;span style='color:blue;'&gt;HỎI&lt;/span&gt;: Trại của ông/bà có khu riêng biệt để cho gà bệnh không?</v>
      </c>
      <c r="G185" s="25" t="str">
        <f>CONCATENATE(UPPER(B185),UPPER(C185),": ",F185)</f>
        <v>S20Q129: &lt;span style='color:blue;'&gt;HỎI&lt;/span&gt;: Trại của ông/bà có khu riêng biệt để cho gà bệnh không?</v>
      </c>
      <c r="H185" s="25"/>
      <c r="I185" s="25"/>
      <c r="J185" s="25"/>
      <c r="K185" s="25" t="s">
        <v>40</v>
      </c>
      <c r="L185" s="25" t="s">
        <v>50</v>
      </c>
      <c r="M185" s="25"/>
      <c r="N185" s="25"/>
      <c r="O185" s="25"/>
      <c r="P185" s="25"/>
      <c r="Q185" s="25"/>
      <c r="R185" s="25"/>
      <c r="S185" s="25"/>
    </row>
    <row r="186" spans="1:19" x14ac:dyDescent="0.2">
      <c r="A186" s="49" t="s">
        <v>67</v>
      </c>
      <c r="B186" s="25" t="s">
        <v>483</v>
      </c>
      <c r="C186" s="49" t="s">
        <v>488</v>
      </c>
      <c r="D186" s="25" t="s">
        <v>489</v>
      </c>
      <c r="E186" s="5" t="str">
        <f>CONCATENATE(B186,C186,"_",D186)</f>
        <v>s20q130_is_see_diseased_area</v>
      </c>
      <c r="F186" s="25" t="str">
        <f>CONCATENATE("&lt;span style='color:blue;'&gt;QUAN SÁT&lt;/span&gt;: Điều tra viên hỏi để đến quan sát nơi nhốt gà bệnh. Bạn/Điều tra viên có thể nhìn thấy khu đó không?")</f>
        <v>&lt;span style='color:blue;'&gt;QUAN SÁT&lt;/span&gt;: Điều tra viên hỏi để đến quan sát nơi nhốt gà bệnh. Bạn/Điều tra viên có thể nhìn thấy khu đó không?</v>
      </c>
      <c r="G186" s="25" t="str">
        <f>CONCATENATE(UPPER(B186),UPPER(C186),": ",F186)</f>
        <v>S20Q130: &lt;span style='color:blue;'&gt;QUAN SÁT&lt;/span&gt;: Điều tra viên hỏi để đến quan sát nơi nhốt gà bệnh. Bạn/Điều tra viên có thể nhìn thấy khu đó không?</v>
      </c>
      <c r="H186" s="25"/>
      <c r="I186" s="25"/>
      <c r="J186" s="25"/>
      <c r="K186" s="25" t="s">
        <v>40</v>
      </c>
      <c r="L186" s="25" t="s">
        <v>50</v>
      </c>
      <c r="M186" s="25" t="str">
        <f>CONCATENATE("selected(${",E185,"},'yes')")</f>
        <v>selected(${s20q129_is_sep_area4diseased},'yes')</v>
      </c>
      <c r="N186" s="25"/>
      <c r="O186" s="25"/>
      <c r="P186" s="25"/>
      <c r="Q186" s="25"/>
      <c r="R186" s="25"/>
      <c r="S186" s="25"/>
    </row>
    <row r="187" spans="1:19" x14ac:dyDescent="0.2">
      <c r="A187" s="25" t="s">
        <v>397</v>
      </c>
      <c r="B187" s="25" t="s">
        <v>483</v>
      </c>
      <c r="C187" s="49" t="s">
        <v>490</v>
      </c>
      <c r="D187" s="25" t="s">
        <v>491</v>
      </c>
      <c r="E187" s="5" t="str">
        <f>CONCATENATE(B187,C187,"_",D187)</f>
        <v>s20q131_diseased_area_clean_measures</v>
      </c>
      <c r="F187" s="25" t="str">
        <f>CONCATENATE("&lt;span style='color:blue;'&gt;HỎI&lt;/span&gt;: Ông/bà có dùng các biện pháp nào để giữ khu gà bệnh được sạch sẽ không? ")</f>
        <v xml:space="preserve">&lt;span style='color:blue;'&gt;HỎI&lt;/span&gt;: Ông/bà có dùng các biện pháp nào để giữ khu gà bệnh được sạch sẽ không? </v>
      </c>
      <c r="G187" s="25" t="str">
        <f>CONCATENATE(UPPER(B187),UPPER(C187),": ",F187)</f>
        <v xml:space="preserve">S20Q131: &lt;span style='color:blue;'&gt;HỎI&lt;/span&gt;: Ông/bà có dùng các biện pháp nào để giữ khu gà bệnh được sạch sẽ không? </v>
      </c>
      <c r="H187" s="25" t="s">
        <v>401</v>
      </c>
      <c r="I187" s="25" t="s">
        <v>382</v>
      </c>
      <c r="J187" s="25" t="s">
        <v>383</v>
      </c>
      <c r="K187" s="25" t="s">
        <v>40</v>
      </c>
      <c r="L187" s="25"/>
      <c r="M187" s="25" t="str">
        <f>CONCATENATE("selected(${",E186,"},'yes')")</f>
        <v>selected(${s20q130_is_see_diseased_area},'yes')</v>
      </c>
      <c r="N187" s="25"/>
      <c r="O187" s="25"/>
      <c r="P187" s="25"/>
      <c r="Q187" s="25"/>
      <c r="R187" s="25"/>
      <c r="S187" s="25"/>
    </row>
    <row r="188" spans="1:19" x14ac:dyDescent="0.2">
      <c r="A188" s="25" t="s">
        <v>492</v>
      </c>
      <c r="B188" s="25" t="s">
        <v>483</v>
      </c>
      <c r="C188" s="49" t="s">
        <v>493</v>
      </c>
      <c r="D188" s="25" t="s">
        <v>494</v>
      </c>
      <c r="E188" s="5" t="str">
        <f>CONCATENATE(B188,C188,"_",D188)</f>
        <v>s20q132_freq_disease_clean_measure</v>
      </c>
      <c r="F188" s="25" t="s">
        <v>404</v>
      </c>
      <c r="G188" s="25" t="str">
        <f>CONCATENATE(UPPER(B188),UPPER(C188),": ",F188)</f>
        <v>S20Q132: Ông/bà thường áp dụng các biện pháp này bao lâu một lần?</v>
      </c>
      <c r="H188" s="25"/>
      <c r="I188" s="25"/>
      <c r="J188" s="25"/>
      <c r="K188" s="25" t="s">
        <v>40</v>
      </c>
      <c r="L188" s="25" t="s">
        <v>50</v>
      </c>
      <c r="M188" s="25" t="str">
        <f>CONCATENATE("selected(${",E186,"},'yes') and not(selected(${",E187,"},'none'))")</f>
        <v>selected(${s20q130_is_see_diseased_area},'yes') and not(selected(${s20q131_diseased_area_clean_measures},'none'))</v>
      </c>
      <c r="N188" s="25"/>
      <c r="O188" s="25"/>
      <c r="P188" s="25"/>
      <c r="Q188" s="25"/>
      <c r="R188" s="25"/>
      <c r="S188" s="25"/>
    </row>
    <row r="189" spans="1:19" x14ac:dyDescent="0.2">
      <c r="A189" s="4" t="s">
        <v>74</v>
      </c>
      <c r="C189" s="7" t="s">
        <v>43</v>
      </c>
      <c r="E189" s="6"/>
    </row>
    <row r="190" spans="1:19" x14ac:dyDescent="0.2">
      <c r="A190" s="8" t="s">
        <v>41</v>
      </c>
      <c r="B190" s="8" t="s">
        <v>495</v>
      </c>
      <c r="C190" s="8" t="s">
        <v>43</v>
      </c>
      <c r="D190" s="8" t="s">
        <v>496</v>
      </c>
      <c r="E190" s="9" t="str">
        <f t="shared" ref="E190:E202" si="15">CONCATENATE(B190,C190,"_",D190)</f>
        <v>s21_grp_ab_pur_store</v>
      </c>
      <c r="F190" s="8" t="s">
        <v>497</v>
      </c>
      <c r="G190" s="8" t="str">
        <f t="shared" ref="G190:G202" si="16">CONCATENATE(UPPER(B190),UPPER(C190),": ",F190)</f>
        <v>S21: Mua và bảo quản kháng sinh</v>
      </c>
      <c r="H190" s="8"/>
      <c r="I190" s="8"/>
      <c r="J190" s="8"/>
      <c r="K190" s="8"/>
      <c r="L190" s="8"/>
      <c r="M190" s="8"/>
      <c r="N190" s="8"/>
      <c r="O190" s="8"/>
      <c r="P190" s="8"/>
      <c r="Q190" s="8"/>
      <c r="R190" s="8"/>
      <c r="S190" s="8"/>
    </row>
    <row r="191" spans="1:19" x14ac:dyDescent="0.2">
      <c r="A191" s="33" t="s">
        <v>67</v>
      </c>
      <c r="B191" s="8" t="s">
        <v>495</v>
      </c>
      <c r="C191" s="8" t="s">
        <v>498</v>
      </c>
      <c r="D191" s="8" t="s">
        <v>499</v>
      </c>
      <c r="E191" s="9" t="str">
        <f t="shared" si="15"/>
        <v>s21q133_is_ab_used</v>
      </c>
      <c r="F191" s="8" t="s">
        <v>500</v>
      </c>
      <c r="G191" s="8" t="str">
        <f t="shared" si="16"/>
        <v>S21Q133: Trong chu kỳ nuôi trước, gà của trại ông/bà có cần sử dụng kháng sinh không?</v>
      </c>
      <c r="H191" s="8"/>
      <c r="I191" s="8"/>
      <c r="J191" s="8"/>
      <c r="K191" s="8" t="s">
        <v>40</v>
      </c>
      <c r="L191" s="8" t="s">
        <v>50</v>
      </c>
      <c r="M191" s="8"/>
      <c r="N191" s="8"/>
      <c r="O191" s="8"/>
      <c r="P191" s="8"/>
      <c r="Q191" s="8"/>
      <c r="R191" s="8"/>
      <c r="S191" s="8"/>
    </row>
    <row r="192" spans="1:19" x14ac:dyDescent="0.2">
      <c r="A192" s="8" t="s">
        <v>501</v>
      </c>
      <c r="B192" s="8" t="s">
        <v>495</v>
      </c>
      <c r="C192" s="8" t="s">
        <v>502</v>
      </c>
      <c r="D192" s="8" t="s">
        <v>503</v>
      </c>
      <c r="E192" s="9" t="str">
        <f t="shared" si="15"/>
        <v>s21q134_why_ab_not_used</v>
      </c>
      <c r="F192" s="8" t="s">
        <v>504</v>
      </c>
      <c r="G192" s="8" t="str">
        <f t="shared" si="16"/>
        <v>S21Q134: Vì sao, kỳ nuôi đó đàn gà của ông/bà lại không cần sử dụng kháng sinh?</v>
      </c>
      <c r="H192" s="8" t="s">
        <v>2422</v>
      </c>
      <c r="I192" s="8"/>
      <c r="J192" s="8"/>
      <c r="K192" s="8" t="s">
        <v>40</v>
      </c>
      <c r="L192" s="8"/>
      <c r="M192" s="8" t="str">
        <f>CONCATENATE("selected(${",E191,"},'no')")</f>
        <v>selected(${s21q133_is_ab_used},'no')</v>
      </c>
      <c r="N192" s="8"/>
      <c r="O192" s="8"/>
      <c r="P192" s="8"/>
      <c r="Q192" s="8"/>
      <c r="R192" s="8"/>
      <c r="S192" s="8"/>
    </row>
    <row r="193" spans="1:19" x14ac:dyDescent="0.2">
      <c r="A193" s="8" t="s">
        <v>505</v>
      </c>
      <c r="B193" s="8" t="s">
        <v>495</v>
      </c>
      <c r="C193" s="8" t="s">
        <v>506</v>
      </c>
      <c r="D193" s="8" t="s">
        <v>507</v>
      </c>
      <c r="E193" s="9" t="str">
        <f t="shared" si="15"/>
        <v>s21q135_where_ab_kept</v>
      </c>
      <c r="F193" s="8" t="s">
        <v>508</v>
      </c>
      <c r="G193" s="8" t="str">
        <f t="shared" si="16"/>
        <v>S21Q135: Ông/bà thường cất giữ (gói/hộp) thuốc kháng sinh ở đâu?</v>
      </c>
      <c r="H193" s="8"/>
      <c r="I193" s="8"/>
      <c r="J193" s="8"/>
      <c r="K193" s="8" t="s">
        <v>40</v>
      </c>
      <c r="L193" s="8" t="s">
        <v>50</v>
      </c>
      <c r="M193" s="8"/>
      <c r="N193" s="8"/>
      <c r="O193" s="8"/>
      <c r="P193" s="8"/>
      <c r="Q193" s="8"/>
      <c r="R193" s="8"/>
      <c r="S193" s="8"/>
    </row>
    <row r="194" spans="1:19" x14ac:dyDescent="0.2">
      <c r="A194" s="33" t="s">
        <v>67</v>
      </c>
      <c r="B194" s="8" t="s">
        <v>495</v>
      </c>
      <c r="C194" s="8" t="s">
        <v>509</v>
      </c>
      <c r="D194" s="8" t="s">
        <v>510</v>
      </c>
      <c r="E194" s="9" t="str">
        <f t="shared" si="15"/>
        <v>s21q136_know_ab_spent</v>
      </c>
      <c r="F194" s="8" t="s">
        <v>511</v>
      </c>
      <c r="G194" s="8" t="str">
        <f t="shared" si="16"/>
        <v xml:space="preserve">S21Q136: Ông/bà có biết chi phí cho kháng sinh sử dụng cho gà trong chu kỳ nuôi gần đây nhất không? </v>
      </c>
      <c r="H194" s="8"/>
      <c r="I194" s="8"/>
      <c r="J194" s="8"/>
      <c r="K194" s="8" t="s">
        <v>40</v>
      </c>
      <c r="L194" s="8" t="s">
        <v>50</v>
      </c>
      <c r="M194" s="8" t="str">
        <f>CONCATENATE("selected(${",E191,"},'yes')")</f>
        <v>selected(${s21q133_is_ab_used},'yes')</v>
      </c>
      <c r="N194" s="8"/>
      <c r="O194" s="8"/>
      <c r="P194" s="8"/>
      <c r="Q194" s="8"/>
      <c r="R194" s="8"/>
      <c r="S194" s="8"/>
    </row>
    <row r="195" spans="1:19" x14ac:dyDescent="0.2">
      <c r="A195" s="8" t="s">
        <v>88</v>
      </c>
      <c r="B195" s="8" t="s">
        <v>495</v>
      </c>
      <c r="C195" s="8" t="s">
        <v>512</v>
      </c>
      <c r="D195" s="8" t="s">
        <v>513</v>
      </c>
      <c r="E195" s="9" t="str">
        <f t="shared" si="15"/>
        <v>s21q137_ab_spend</v>
      </c>
      <c r="F195" s="8" t="s">
        <v>514</v>
      </c>
      <c r="G195" s="8" t="str">
        <f t="shared" si="16"/>
        <v>S21Q137: Tổng chi phí đó là bao nhiêu?</v>
      </c>
      <c r="H195" s="8" t="s">
        <v>2421</v>
      </c>
      <c r="I195" s="8" t="s">
        <v>184</v>
      </c>
      <c r="J195" s="8"/>
      <c r="K195" s="8" t="s">
        <v>40</v>
      </c>
      <c r="L195" s="8"/>
      <c r="M195" s="8" t="str">
        <f>CONCATENATE("selected(${",E194,"},'yes')")</f>
        <v>selected(${s21q136_know_ab_spent},'yes')</v>
      </c>
      <c r="N195" s="8"/>
      <c r="O195" s="8"/>
      <c r="P195" s="8"/>
      <c r="Q195" s="8"/>
      <c r="R195" s="8"/>
      <c r="S195" s="8"/>
    </row>
    <row r="196" spans="1:19" x14ac:dyDescent="0.2">
      <c r="A196" s="33" t="s">
        <v>67</v>
      </c>
      <c r="B196" s="8" t="s">
        <v>495</v>
      </c>
      <c r="C196" s="8" t="s">
        <v>515</v>
      </c>
      <c r="D196" s="8" t="s">
        <v>516</v>
      </c>
      <c r="E196" s="9" t="str">
        <f t="shared" si="15"/>
        <v>s21q138_is_keep_ab_use_receipts</v>
      </c>
      <c r="F196" s="8" t="s">
        <v>517</v>
      </c>
      <c r="G196" s="8" t="str">
        <f t="shared" si="16"/>
        <v xml:space="preserve">S21Q138: Ông/bà có giữ hóa đơn/sổ ghi tiền mua kháng sinh không? </v>
      </c>
      <c r="H196" s="8"/>
      <c r="I196" s="8"/>
      <c r="J196" s="8"/>
      <c r="K196" s="8" t="s">
        <v>40</v>
      </c>
      <c r="L196" s="8" t="s">
        <v>50</v>
      </c>
      <c r="M196" s="8"/>
      <c r="N196" s="8"/>
      <c r="O196" s="8"/>
      <c r="P196" s="8"/>
      <c r="Q196" s="8"/>
      <c r="R196" s="8"/>
      <c r="S196" s="8"/>
    </row>
    <row r="197" spans="1:19" x14ac:dyDescent="0.2">
      <c r="A197" s="4" t="s">
        <v>74</v>
      </c>
      <c r="C197" s="4" t="s">
        <v>43</v>
      </c>
    </row>
    <row r="198" spans="1:19" x14ac:dyDescent="0.2">
      <c r="A198" s="8" t="s">
        <v>41</v>
      </c>
      <c r="B198" s="8" t="s">
        <v>518</v>
      </c>
      <c r="C198" s="8" t="s">
        <v>43</v>
      </c>
      <c r="D198" s="8" t="s">
        <v>519</v>
      </c>
      <c r="E198" s="9" t="str">
        <f>CONCATENATE(B198,C198,"_",D198)</f>
        <v>s22_grp_ab_pur_store_cont</v>
      </c>
      <c r="F198" s="80" t="s">
        <v>520</v>
      </c>
      <c r="G198" s="8" t="str">
        <f>CONCATENATE(UPPER(B198),UPPER(C198),": ",F198)</f>
        <v>S22: Mua và bảo quản kháng sinh ../cont</v>
      </c>
      <c r="H198" s="8"/>
      <c r="I198" s="8"/>
      <c r="J198" s="8"/>
      <c r="K198" s="8"/>
      <c r="L198" s="8"/>
      <c r="M198" s="8"/>
      <c r="N198" s="8"/>
      <c r="O198" s="8"/>
      <c r="P198" s="8"/>
      <c r="Q198" s="8"/>
      <c r="R198" s="8"/>
      <c r="S198" s="8"/>
    </row>
    <row r="199" spans="1:19" x14ac:dyDescent="0.2">
      <c r="A199" s="8" t="s">
        <v>521</v>
      </c>
      <c r="B199" s="8" t="s">
        <v>518</v>
      </c>
      <c r="C199" s="8" t="s">
        <v>522</v>
      </c>
      <c r="D199" s="8" t="s">
        <v>523</v>
      </c>
      <c r="E199" s="9" t="str">
        <f t="shared" si="15"/>
        <v>s22q139_month_ab_most_used</v>
      </c>
      <c r="F199" s="8" t="s">
        <v>524</v>
      </c>
      <c r="G199" s="8" t="str">
        <f t="shared" si="16"/>
        <v xml:space="preserve">S22Q139: Tháng nào mà Ông/bà thấy trại thường phải dùng kháng sinh nhiều nhất? (Chọn MỘT đáp án)? </v>
      </c>
      <c r="H199" s="8"/>
      <c r="I199" s="8" t="s">
        <v>525</v>
      </c>
      <c r="J199" s="8" t="s">
        <v>526</v>
      </c>
      <c r="K199" s="8" t="s">
        <v>40</v>
      </c>
      <c r="L199" s="8"/>
      <c r="M199" s="8"/>
      <c r="N199" s="8"/>
      <c r="O199" s="8"/>
      <c r="P199" s="8"/>
      <c r="Q199" s="8"/>
      <c r="R199" s="8"/>
      <c r="S199" s="8"/>
    </row>
    <row r="200" spans="1:19" x14ac:dyDescent="0.2">
      <c r="A200" s="33" t="s">
        <v>67</v>
      </c>
      <c r="B200" s="8" t="s">
        <v>518</v>
      </c>
      <c r="C200" s="8" t="s">
        <v>527</v>
      </c>
      <c r="D200" s="8" t="s">
        <v>528</v>
      </c>
      <c r="E200" s="9" t="str">
        <f t="shared" si="15"/>
        <v>s22q140_is_keep_ab_records</v>
      </c>
      <c r="F200" s="8" t="s">
        <v>529</v>
      </c>
      <c r="G200" s="8" t="str">
        <f t="shared" si="16"/>
        <v xml:space="preserve">S22Q140: Ông/bà có lưu giữ/ghi chép thông tin kháng sinh đã sử dụng cho gà không? </v>
      </c>
      <c r="H200" s="8"/>
      <c r="I200" s="8"/>
      <c r="J200" s="8"/>
      <c r="K200" s="8" t="s">
        <v>40</v>
      </c>
      <c r="L200" s="8" t="s">
        <v>50</v>
      </c>
      <c r="M200" s="8" t="str">
        <f>CONCATENATE("not(selected(${",E199,"},'dont_use_ab'))")</f>
        <v>not(selected(${s22q139_month_ab_most_used},'dont_use_ab'))</v>
      </c>
      <c r="N200" s="8"/>
      <c r="O200" s="8"/>
      <c r="P200" s="8"/>
      <c r="Q200" s="8"/>
      <c r="R200" s="8"/>
      <c r="S200" s="8"/>
    </row>
    <row r="201" spans="1:19" x14ac:dyDescent="0.2">
      <c r="A201" s="8" t="s">
        <v>530</v>
      </c>
      <c r="B201" s="8" t="s">
        <v>518</v>
      </c>
      <c r="C201" s="8" t="s">
        <v>531</v>
      </c>
      <c r="D201" s="8" t="s">
        <v>532</v>
      </c>
      <c r="E201" s="9" t="str">
        <f t="shared" si="15"/>
        <v>s22q141_records_form</v>
      </c>
      <c r="F201" s="8" t="s">
        <v>533</v>
      </c>
      <c r="G201" s="8" t="str">
        <f t="shared" si="16"/>
        <v xml:space="preserve">S22Q141: Lưu giữ bằng hình thức nào? </v>
      </c>
      <c r="H201" s="8"/>
      <c r="I201" s="8"/>
      <c r="J201" s="8"/>
      <c r="K201" s="8" t="s">
        <v>40</v>
      </c>
      <c r="L201" s="8" t="s">
        <v>50</v>
      </c>
      <c r="M201" s="8" t="str">
        <f>CONCATENATE("selected(${",E200,"},'yes')")</f>
        <v>selected(${s22q140_is_keep_ab_records},'yes')</v>
      </c>
      <c r="N201" s="8"/>
      <c r="O201" s="8"/>
      <c r="P201" s="8"/>
      <c r="Q201" s="8"/>
      <c r="R201" s="8"/>
      <c r="S201" s="8"/>
    </row>
    <row r="202" spans="1:19" x14ac:dyDescent="0.2">
      <c r="A202" s="8" t="s">
        <v>534</v>
      </c>
      <c r="B202" s="8" t="s">
        <v>518</v>
      </c>
      <c r="C202" s="8" t="s">
        <v>535</v>
      </c>
      <c r="D202" s="8" t="s">
        <v>536</v>
      </c>
      <c r="E202" s="9" t="str">
        <f t="shared" si="15"/>
        <v>s22q142_how_dispose_expired_ab</v>
      </c>
      <c r="F202" s="8" t="s">
        <v>537</v>
      </c>
      <c r="G202" s="8" t="str">
        <f t="shared" si="16"/>
        <v xml:space="preserve">S22Q142: Ông/bà loại bỏ kháng sinh còn thừa/quá hạn như thế nào? </v>
      </c>
      <c r="H202" s="8"/>
      <c r="I202" s="8"/>
      <c r="J202" s="8"/>
      <c r="K202" s="8" t="s">
        <v>40</v>
      </c>
      <c r="L202" s="8"/>
      <c r="M202" s="8" t="str">
        <f>CONCATENATE("not(selected(${",E199,"},'dont_use_ab'))")</f>
        <v>not(selected(${s22q139_month_ab_most_used},'dont_use_ab'))</v>
      </c>
      <c r="N202" s="8"/>
      <c r="O202" s="8"/>
      <c r="P202" s="8"/>
      <c r="Q202" s="8"/>
      <c r="R202" s="8"/>
      <c r="S202" s="8"/>
    </row>
    <row r="203" spans="1:19" x14ac:dyDescent="0.2">
      <c r="A203" s="33" t="s">
        <v>67</v>
      </c>
      <c r="B203" s="8" t="s">
        <v>518</v>
      </c>
      <c r="C203" s="8" t="s">
        <v>538</v>
      </c>
      <c r="D203" s="8" t="s">
        <v>539</v>
      </c>
      <c r="E203" s="9" t="str">
        <f>CONCATENATE(B203,C203,"_",D203)</f>
        <v>s22q143_is_use_human_ab</v>
      </c>
      <c r="F203" s="8" t="s">
        <v>540</v>
      </c>
      <c r="G203" s="8" t="str">
        <f>CONCATENATE(UPPER(B203),UPPER(C203),": ",F203)</f>
        <v xml:space="preserve">S22Q143: Ông/bà có sử dụng kháng sinh của gia đình/bản thân mình hoặc các loại thuốc khác cho người để phòng/trị bệnh cho gà không? </v>
      </c>
      <c r="H203" s="8"/>
      <c r="I203" s="8"/>
      <c r="J203" s="8"/>
      <c r="K203" s="8" t="s">
        <v>40</v>
      </c>
      <c r="L203" s="8" t="s">
        <v>50</v>
      </c>
      <c r="M203" s="8"/>
      <c r="N203" s="8"/>
      <c r="O203" s="8"/>
      <c r="P203" s="8"/>
      <c r="Q203" s="8"/>
      <c r="R203" s="8"/>
      <c r="S203" s="8"/>
    </row>
    <row r="204" spans="1:19" x14ac:dyDescent="0.2">
      <c r="A204" s="8" t="s">
        <v>339</v>
      </c>
      <c r="B204" s="8" t="s">
        <v>518</v>
      </c>
      <c r="C204" s="8" t="s">
        <v>541</v>
      </c>
      <c r="D204" s="8" t="s">
        <v>542</v>
      </c>
      <c r="E204" s="9" t="str">
        <f>CONCATENATE(B204,C204,"_",D204)</f>
        <v>s22q144_ab_used</v>
      </c>
      <c r="F204" s="8" t="s">
        <v>543</v>
      </c>
      <c r="G204" s="8" t="str">
        <f>CONCATENATE(UPPER(B204),UPPER(C204),": ",F204)</f>
        <v xml:space="preserve">S22Q144: Những loai nào? (Gợi ý: Tên thương mại)  </v>
      </c>
      <c r="H204" s="8" t="s">
        <v>2612</v>
      </c>
      <c r="I204" s="8"/>
      <c r="J204" s="8"/>
      <c r="K204" s="8" t="s">
        <v>40</v>
      </c>
      <c r="L204" s="8"/>
      <c r="M204" s="8" t="str">
        <f>CONCATENATE("selected(${",E203,"},'yes')")</f>
        <v>selected(${s22q143_is_use_human_ab},'yes')</v>
      </c>
      <c r="N204" s="8"/>
      <c r="O204" s="8"/>
      <c r="P204" s="8"/>
      <c r="Q204" s="8"/>
      <c r="R204" s="8"/>
      <c r="S204" s="8"/>
    </row>
    <row r="205" spans="1:19" x14ac:dyDescent="0.2">
      <c r="A205" s="4" t="s">
        <v>74</v>
      </c>
      <c r="C205" s="4" t="s">
        <v>43</v>
      </c>
    </row>
    <row r="206" spans="1:19" x14ac:dyDescent="0.2">
      <c r="A206" s="4" t="s">
        <v>294</v>
      </c>
      <c r="B206" s="4" t="s">
        <v>544</v>
      </c>
      <c r="C206" s="4" t="s">
        <v>43</v>
      </c>
      <c r="D206" s="4" t="s">
        <v>545</v>
      </c>
      <c r="E206" s="6" t="str">
        <f>CONCATENATE(B206,C206,"_",D206)</f>
        <v>s23_note_cur_prod_cycle</v>
      </c>
      <c r="F206" s="4" t="s">
        <v>2620</v>
      </c>
      <c r="G206" s="4" t="str">
        <f>CONCATENATE(UPPER(B206),UPPER(C206),": ",F206)</f>
        <v>S23: Bây giờ tôi sẽ hỏi ông/bà một số câu hỏi liên quan đến đàn gà ở &lt;span style='color:blue;'&gt;CHU KỲ NUÔI HIỆN TẠI&lt;/span&gt; của ông/bà</v>
      </c>
    </row>
    <row r="207" spans="1:19" x14ac:dyDescent="0.2">
      <c r="A207" s="26" t="s">
        <v>41</v>
      </c>
      <c r="B207" s="26" t="s">
        <v>544</v>
      </c>
      <c r="C207" s="26" t="s">
        <v>43</v>
      </c>
      <c r="D207" s="26" t="s">
        <v>546</v>
      </c>
      <c r="E207" s="12" t="str">
        <f t="shared" ref="E207:E214" si="17">CONCATENATE(B207,C207,"_",D207)</f>
        <v>s23_grp_farm_livestock</v>
      </c>
      <c r="F207" s="26" t="s">
        <v>547</v>
      </c>
      <c r="G207" s="26" t="str">
        <f t="shared" ref="G207:G214" si="18">CONCATENATE(UPPER(B207),UPPER(C207),": ",F207)</f>
        <v>S23: Các vật nuôi hiện tại ở trại</v>
      </c>
      <c r="H207" s="26"/>
      <c r="I207" s="26"/>
      <c r="J207" s="26"/>
      <c r="K207" s="26"/>
      <c r="L207" s="26"/>
      <c r="M207" s="26"/>
      <c r="N207" s="26"/>
      <c r="O207" s="26"/>
      <c r="P207" s="26"/>
      <c r="Q207" s="26"/>
      <c r="R207" s="26"/>
      <c r="S207" s="26"/>
    </row>
    <row r="208" spans="1:19" x14ac:dyDescent="0.2">
      <c r="A208" s="26" t="s">
        <v>88</v>
      </c>
      <c r="B208" s="26" t="s">
        <v>544</v>
      </c>
      <c r="C208" s="26" t="s">
        <v>548</v>
      </c>
      <c r="D208" s="26" t="s">
        <v>549</v>
      </c>
      <c r="E208" s="12" t="str">
        <f t="shared" si="17"/>
        <v>s23q145_no_broilers</v>
      </c>
      <c r="F208" s="26" t="s">
        <v>550</v>
      </c>
      <c r="G208" s="26" t="str">
        <f t="shared" si="18"/>
        <v xml:space="preserve">S23Q145: Trại của ông/bà hiện tại có bao nhiêu con gà thịt (broiler)? </v>
      </c>
      <c r="H208" s="26"/>
      <c r="I208" s="26"/>
      <c r="J208" s="26"/>
      <c r="K208" s="26" t="s">
        <v>40</v>
      </c>
      <c r="L208" s="26"/>
      <c r="M208" s="26"/>
      <c r="N208" s="26"/>
      <c r="O208" s="26"/>
      <c r="P208" s="26"/>
      <c r="Q208" s="26"/>
      <c r="R208" s="26"/>
      <c r="S208" s="26"/>
    </row>
    <row r="209" spans="1:19" x14ac:dyDescent="0.2">
      <c r="A209" s="26" t="s">
        <v>88</v>
      </c>
      <c r="B209" s="26" t="s">
        <v>544</v>
      </c>
      <c r="C209" s="26" t="s">
        <v>551</v>
      </c>
      <c r="D209" s="26" t="s">
        <v>552</v>
      </c>
      <c r="E209" s="12" t="str">
        <f t="shared" si="17"/>
        <v>s23q146_no_sep_flock</v>
      </c>
      <c r="F209" s="26" t="s">
        <v>553</v>
      </c>
      <c r="G209" s="26" t="str">
        <f t="shared" si="18"/>
        <v xml:space="preserve">S23Q146: Trại của ông/bà hiện tại có bao nhiêu đàn?  </v>
      </c>
      <c r="H209" s="26"/>
      <c r="I209" s="26" t="s">
        <v>106</v>
      </c>
      <c r="J209" s="26"/>
      <c r="K209" s="26" t="s">
        <v>40</v>
      </c>
      <c r="L209" s="26"/>
      <c r="M209" s="26"/>
      <c r="N209" s="26"/>
      <c r="O209" s="26"/>
      <c r="P209" s="26"/>
      <c r="Q209" s="26"/>
      <c r="R209" s="26"/>
      <c r="S209" s="26"/>
    </row>
    <row r="210" spans="1:19" x14ac:dyDescent="0.2">
      <c r="A210" s="26" t="s">
        <v>111</v>
      </c>
      <c r="B210" s="26" t="s">
        <v>544</v>
      </c>
      <c r="C210" s="26" t="s">
        <v>554</v>
      </c>
      <c r="D210" s="26" t="s">
        <v>555</v>
      </c>
      <c r="E210" s="12" t="str">
        <f t="shared" si="17"/>
        <v>s23q147_age_youngest_bird</v>
      </c>
      <c r="F210" s="26" t="s">
        <v>556</v>
      </c>
      <c r="G210" s="26" t="str">
        <f t="shared" si="18"/>
        <v xml:space="preserve">S23Q147: Lứa tuổi của đàn gà nhỏ nhất hiện nay là bao nhiêu tuần? (Gợi ý: tính bằng tuần tuổi) </v>
      </c>
      <c r="H210" s="26" t="s">
        <v>2420</v>
      </c>
      <c r="I210" s="26" t="s">
        <v>557</v>
      </c>
      <c r="J210" s="26"/>
      <c r="K210" s="26" t="s">
        <v>40</v>
      </c>
      <c r="L210" s="26"/>
      <c r="M210" s="26"/>
      <c r="N210" s="26"/>
      <c r="O210" s="26"/>
      <c r="P210" s="26"/>
      <c r="Q210" s="26"/>
      <c r="R210" s="26"/>
      <c r="S210" s="26"/>
    </row>
    <row r="211" spans="1:19" x14ac:dyDescent="0.2">
      <c r="A211" s="26" t="s">
        <v>88</v>
      </c>
      <c r="B211" s="26" t="s">
        <v>544</v>
      </c>
      <c r="C211" s="26" t="s">
        <v>558</v>
      </c>
      <c r="D211" s="26" t="s">
        <v>559</v>
      </c>
      <c r="E211" s="12" t="str">
        <f t="shared" si="17"/>
        <v>s23q148_no_birds_flock</v>
      </c>
      <c r="F211" s="26" t="s">
        <v>560</v>
      </c>
      <c r="G211" s="26" t="str">
        <f t="shared" si="18"/>
        <v>S23Q148: Có bao nhiêu con trong đàn đó?</v>
      </c>
      <c r="H211" s="26"/>
      <c r="I211" s="26"/>
      <c r="J211" s="26"/>
      <c r="K211" s="26" t="s">
        <v>40</v>
      </c>
      <c r="L211" s="26"/>
      <c r="M211" s="26"/>
      <c r="N211" s="26"/>
      <c r="O211" s="26"/>
      <c r="P211" s="26"/>
      <c r="Q211" s="26"/>
      <c r="R211" s="26"/>
      <c r="S211" s="26"/>
    </row>
    <row r="212" spans="1:19" x14ac:dyDescent="0.2">
      <c r="A212" s="26" t="s">
        <v>561</v>
      </c>
      <c r="B212" s="26" t="s">
        <v>544</v>
      </c>
      <c r="C212" s="26" t="s">
        <v>562</v>
      </c>
      <c r="D212" s="26" t="s">
        <v>563</v>
      </c>
      <c r="E212" s="12" t="str">
        <f t="shared" si="17"/>
        <v>s23q149_other_chicken</v>
      </c>
      <c r="F212" s="26" t="s">
        <v>564</v>
      </c>
      <c r="G212" s="26" t="str">
        <f t="shared" si="18"/>
        <v xml:space="preserve">S23Q149: Ngoài gà thịt, trại của ông/bà còn có giống gà nào khác không? </v>
      </c>
      <c r="H212" s="26"/>
      <c r="I212" s="26" t="s">
        <v>382</v>
      </c>
      <c r="J212" s="26" t="s">
        <v>383</v>
      </c>
      <c r="K212" s="26" t="s">
        <v>40</v>
      </c>
      <c r="L212" s="26"/>
      <c r="M212" s="26"/>
      <c r="N212" s="26"/>
      <c r="O212" s="26"/>
      <c r="P212" s="26"/>
      <c r="Q212" s="26"/>
      <c r="R212" s="26"/>
      <c r="S212" s="26"/>
    </row>
    <row r="213" spans="1:19" x14ac:dyDescent="0.2">
      <c r="A213" s="26" t="s">
        <v>565</v>
      </c>
      <c r="B213" s="26" t="s">
        <v>544</v>
      </c>
      <c r="C213" s="26" t="s">
        <v>566</v>
      </c>
      <c r="D213" s="26" t="s">
        <v>567</v>
      </c>
      <c r="E213" s="12" t="str">
        <f t="shared" si="17"/>
        <v>s23q150_other_poultry</v>
      </c>
      <c r="F213" s="26" t="s">
        <v>568</v>
      </c>
      <c r="G213" s="26" t="str">
        <f t="shared" si="18"/>
        <v xml:space="preserve">S23Q150: Trại của ông/bà có loài gia cầm nào khác không? </v>
      </c>
      <c r="H213" s="26"/>
      <c r="I213" s="26" t="s">
        <v>382</v>
      </c>
      <c r="J213" s="26" t="s">
        <v>383</v>
      </c>
      <c r="K213" s="26" t="s">
        <v>40</v>
      </c>
      <c r="L213" s="26"/>
      <c r="M213" s="26"/>
      <c r="N213" s="26"/>
      <c r="O213" s="26"/>
      <c r="P213" s="26"/>
      <c r="Q213" s="26"/>
      <c r="R213" s="26"/>
      <c r="S213" s="26"/>
    </row>
    <row r="214" spans="1:19" x14ac:dyDescent="0.2">
      <c r="A214" s="26" t="s">
        <v>569</v>
      </c>
      <c r="B214" s="26" t="s">
        <v>544</v>
      </c>
      <c r="C214" s="26" t="s">
        <v>570</v>
      </c>
      <c r="D214" s="26" t="s">
        <v>571</v>
      </c>
      <c r="E214" s="12" t="str">
        <f t="shared" si="17"/>
        <v>s23q151_other_livestock</v>
      </c>
      <c r="F214" s="26" t="s">
        <v>572</v>
      </c>
      <c r="G214" s="26" t="str">
        <f t="shared" si="18"/>
        <v xml:space="preserve">S23Q151: Trang trại của Ông/bà có gia súc nuôi nào khác không? </v>
      </c>
      <c r="H214" s="26"/>
      <c r="I214" s="26" t="s">
        <v>382</v>
      </c>
      <c r="J214" s="26" t="s">
        <v>383</v>
      </c>
      <c r="K214" s="26" t="s">
        <v>40</v>
      </c>
      <c r="L214" s="26"/>
      <c r="M214" s="26"/>
      <c r="N214" s="26"/>
      <c r="O214" s="26"/>
      <c r="P214" s="26"/>
      <c r="Q214" s="26"/>
      <c r="R214" s="26"/>
      <c r="S214" s="26"/>
    </row>
    <row r="215" spans="1:19" x14ac:dyDescent="0.2">
      <c r="A215" s="4" t="s">
        <v>74</v>
      </c>
      <c r="C215" s="4" t="s">
        <v>43</v>
      </c>
    </row>
    <row r="216" spans="1:19" x14ac:dyDescent="0.2">
      <c r="A216" s="14" t="s">
        <v>294</v>
      </c>
      <c r="B216" s="14" t="s">
        <v>573</v>
      </c>
      <c r="C216" s="14" t="s">
        <v>43</v>
      </c>
      <c r="D216" s="14" t="s">
        <v>574</v>
      </c>
      <c r="E216" s="15" t="str">
        <f t="shared" ref="E216:E223" si="19">CONCATENATE(B216,C216,"_",D216)</f>
        <v>s24_note_last_cycle</v>
      </c>
      <c r="F216" s="14" t="s">
        <v>575</v>
      </c>
      <c r="G216" s="14" t="str">
        <f t="shared" ref="G216:G223" si="20">CONCATENATE(UPPER(B216),UPPER(C216),": ",F216)</f>
        <v xml:space="preserve">S24: Bây giờ tôi sẽ hỏi ông/bà một số câu hỏi liên quan đến &lt;span style='color:blue;'&gt;CHU KỲ/LỨA NUÔI ĐÃ BÁN GẦN ĐÂY NHẤT&lt;/span&gt; của đàn gà thịt của ông/bà. Vui lòng trả lời các thông tin liên quan đến &lt;span style='color:blue;'&gt;CHỈ MỘT ĐÀN&lt;/span&gt;  mà ông/bà vừa mới bán. </v>
      </c>
      <c r="H216" s="14"/>
      <c r="I216" s="14"/>
      <c r="J216" s="14"/>
      <c r="K216" s="14"/>
      <c r="L216" s="14"/>
      <c r="M216" s="14"/>
      <c r="N216" s="14"/>
      <c r="O216" s="14"/>
      <c r="P216" s="14"/>
      <c r="Q216" s="14"/>
      <c r="R216" s="14"/>
      <c r="S216" s="14"/>
    </row>
    <row r="217" spans="1:19" x14ac:dyDescent="0.2">
      <c r="A217" s="14" t="s">
        <v>41</v>
      </c>
      <c r="B217" s="14" t="s">
        <v>573</v>
      </c>
      <c r="C217" s="14" t="s">
        <v>43</v>
      </c>
      <c r="D217" s="14" t="s">
        <v>576</v>
      </c>
      <c r="E217" s="15" t="str">
        <f t="shared" si="19"/>
        <v>s24_grp_flock_source</v>
      </c>
      <c r="F217" s="14" t="s">
        <v>577</v>
      </c>
      <c r="G217" s="14" t="str">
        <f t="shared" si="20"/>
        <v>S24: Nguồn gốc đàn</v>
      </c>
      <c r="H217" s="14"/>
      <c r="I217" s="14"/>
      <c r="J217" s="14"/>
      <c r="K217" s="14"/>
      <c r="L217" s="14"/>
      <c r="M217" s="14"/>
      <c r="N217" s="14"/>
      <c r="O217" s="14"/>
      <c r="P217" s="14"/>
      <c r="Q217" s="14"/>
      <c r="R217" s="14"/>
      <c r="S217" s="14"/>
    </row>
    <row r="218" spans="1:19" x14ac:dyDescent="0.2">
      <c r="A218" s="14" t="s">
        <v>88</v>
      </c>
      <c r="B218" s="14" t="s">
        <v>573</v>
      </c>
      <c r="C218" s="14" t="s">
        <v>578</v>
      </c>
      <c r="D218" s="14" t="s">
        <v>579</v>
      </c>
      <c r="E218" s="15" t="str">
        <f t="shared" si="19"/>
        <v>s24q152_no_birds_last_cycle</v>
      </c>
      <c r="F218" s="14" t="s">
        <v>580</v>
      </c>
      <c r="G218" s="14" t="str">
        <f t="shared" si="20"/>
        <v>S24Q152: Ở giai đoạn bắt đầu nuôi chu kỳ đó, đàn mới của ông/bà (lúc đó) có bao nhiêu con</v>
      </c>
      <c r="H218" s="14"/>
      <c r="I218" s="14" t="s">
        <v>106</v>
      </c>
      <c r="J218" s="14"/>
      <c r="K218" s="14" t="s">
        <v>40</v>
      </c>
      <c r="L218" s="14"/>
      <c r="M218" s="14"/>
      <c r="N218" s="14"/>
      <c r="O218" s="14"/>
      <c r="P218" s="14"/>
      <c r="Q218" s="14"/>
      <c r="R218" s="14"/>
      <c r="S218" s="14"/>
    </row>
    <row r="219" spans="1:19" x14ac:dyDescent="0.2">
      <c r="A219" s="14" t="s">
        <v>581</v>
      </c>
      <c r="B219" s="14" t="s">
        <v>573</v>
      </c>
      <c r="C219" s="14" t="s">
        <v>582</v>
      </c>
      <c r="D219" s="14" t="s">
        <v>583</v>
      </c>
      <c r="E219" s="15" t="str">
        <f t="shared" si="19"/>
        <v>s24q153_how_acquired</v>
      </c>
      <c r="F219" s="14" t="s">
        <v>584</v>
      </c>
      <c r="G219" s="14" t="str">
        <f t="shared" si="20"/>
        <v>S24Q153: Ông/bà lấy/có gà giống từ nguồn chính nào?</v>
      </c>
      <c r="H219" s="14"/>
      <c r="I219" s="14"/>
      <c r="J219" s="14"/>
      <c r="K219" s="14" t="s">
        <v>40</v>
      </c>
      <c r="L219" s="14" t="s">
        <v>50</v>
      </c>
      <c r="M219" s="14"/>
      <c r="N219" s="14"/>
      <c r="O219" s="14"/>
      <c r="P219" s="14"/>
      <c r="Q219" s="14"/>
      <c r="R219" s="14"/>
      <c r="S219" s="14"/>
    </row>
    <row r="220" spans="1:19" x14ac:dyDescent="0.2">
      <c r="A220" s="14" t="s">
        <v>585</v>
      </c>
      <c r="B220" s="14" t="s">
        <v>573</v>
      </c>
      <c r="C220" s="14" t="s">
        <v>586</v>
      </c>
      <c r="D220" s="14" t="s">
        <v>587</v>
      </c>
      <c r="E220" s="15" t="str">
        <f t="shared" si="19"/>
        <v>s24q154_birds_source</v>
      </c>
      <c r="F220" s="14" t="s">
        <v>588</v>
      </c>
      <c r="G220" s="14" t="str">
        <f t="shared" si="20"/>
        <v>S24Q154: Nguồn gốc của gà của ông/bà là từ đâu?</v>
      </c>
      <c r="H220" s="14"/>
      <c r="I220" s="14"/>
      <c r="J220" s="14"/>
      <c r="K220" s="14" t="s">
        <v>40</v>
      </c>
      <c r="L220" s="14" t="s">
        <v>50</v>
      </c>
      <c r="M220" s="14" t="str">
        <f>CONCATENATE("selected(${",E219,"},'purchased')")</f>
        <v>selected(${s24q153_how_acquired},'purchased')</v>
      </c>
      <c r="N220" s="14"/>
      <c r="O220" s="14"/>
      <c r="P220" s="14"/>
      <c r="Q220" s="14"/>
      <c r="R220" s="14"/>
      <c r="S220" s="14"/>
    </row>
    <row r="221" spans="1:19" x14ac:dyDescent="0.2">
      <c r="A221" s="14" t="s">
        <v>589</v>
      </c>
      <c r="B221" s="14" t="s">
        <v>573</v>
      </c>
      <c r="C221" s="14" t="s">
        <v>590</v>
      </c>
      <c r="D221" s="14" t="s">
        <v>591</v>
      </c>
      <c r="E221" s="15" t="str">
        <f t="shared" si="19"/>
        <v>s24q155_source_country</v>
      </c>
      <c r="F221" s="14" t="s">
        <v>592</v>
      </c>
      <c r="G221" s="14" t="str">
        <f t="shared" si="20"/>
        <v>S24Q155: Nếu gà nhập, thì nhập từ nước nào?</v>
      </c>
      <c r="H221" s="14"/>
      <c r="I221" s="14"/>
      <c r="J221" s="14"/>
      <c r="K221" s="14" t="s">
        <v>40</v>
      </c>
      <c r="L221" s="14" t="s">
        <v>50</v>
      </c>
      <c r="M221" s="14" t="str">
        <f>CONCATENATE("selected(${",E220,"},'imported')")</f>
        <v>selected(${s24q154_birds_source},'imported')</v>
      </c>
      <c r="N221" s="14"/>
      <c r="O221" s="14"/>
      <c r="P221" s="14"/>
      <c r="Q221" s="14"/>
      <c r="R221" s="14"/>
      <c r="S221" s="14"/>
    </row>
    <row r="222" spans="1:19" x14ac:dyDescent="0.2">
      <c r="A222" s="14" t="s">
        <v>593</v>
      </c>
      <c r="B222" s="14" t="s">
        <v>573</v>
      </c>
      <c r="C222" s="14" t="s">
        <v>594</v>
      </c>
      <c r="D222" s="14" t="s">
        <v>595</v>
      </c>
      <c r="E222" s="15" t="str">
        <f t="shared" si="19"/>
        <v>s24q156_source_hatchery</v>
      </c>
      <c r="F222" s="14" t="s">
        <v>596</v>
      </c>
      <c r="G222" s="14" t="str">
        <f t="shared" si="20"/>
        <v>S24Q156: Nếu gà được mua từ các công ty ấp, thì từ công ty nào?</v>
      </c>
      <c r="H222" s="14"/>
      <c r="I222" s="14"/>
      <c r="J222" s="14"/>
      <c r="K222" s="14" t="s">
        <v>40</v>
      </c>
      <c r="L222" s="14"/>
      <c r="M222" s="14" t="str">
        <f>CONCATENATE("selected(${",E220,"},'hatchery')")</f>
        <v>selected(${s24q154_birds_source},'hatchery')</v>
      </c>
      <c r="N222" s="14"/>
      <c r="O222" s="14"/>
      <c r="P222" s="14"/>
      <c r="Q222" s="14"/>
      <c r="R222" s="14"/>
      <c r="S222" s="14"/>
    </row>
    <row r="223" spans="1:19" x14ac:dyDescent="0.2">
      <c r="A223" s="14" t="s">
        <v>88</v>
      </c>
      <c r="B223" s="14" t="s">
        <v>573</v>
      </c>
      <c r="C223" s="14" t="s">
        <v>597</v>
      </c>
      <c r="D223" s="14" t="s">
        <v>598</v>
      </c>
      <c r="E223" s="15" t="str">
        <f t="shared" si="19"/>
        <v>s24q157_cost</v>
      </c>
      <c r="F223" s="14" t="s">
        <v>599</v>
      </c>
      <c r="G223" s="14" t="str">
        <f t="shared" si="20"/>
        <v>S24Q157: Tổng chi phí cho nhập đàn gà đó về là bao nhiêu?</v>
      </c>
      <c r="H223" s="14" t="s">
        <v>2421</v>
      </c>
      <c r="I223" s="14"/>
      <c r="J223" s="14"/>
      <c r="K223" s="14" t="s">
        <v>40</v>
      </c>
      <c r="L223" s="14"/>
      <c r="M223" s="14"/>
      <c r="N223" s="14"/>
      <c r="O223" s="14"/>
      <c r="P223" s="14"/>
      <c r="Q223" s="14"/>
      <c r="R223" s="14"/>
      <c r="S223" s="14"/>
    </row>
    <row r="224" spans="1:19" x14ac:dyDescent="0.2">
      <c r="A224" s="4" t="s">
        <v>74</v>
      </c>
      <c r="C224" s="4" t="s">
        <v>43</v>
      </c>
    </row>
    <row r="225" spans="1:19" x14ac:dyDescent="0.2">
      <c r="A225" s="16" t="s">
        <v>600</v>
      </c>
      <c r="B225" s="16" t="s">
        <v>601</v>
      </c>
      <c r="C225" s="16" t="s">
        <v>602</v>
      </c>
      <c r="D225" s="16" t="s">
        <v>603</v>
      </c>
      <c r="E225" s="17" t="str">
        <f t="shared" ref="E225:E231" si="21">CONCATENATE(B225,C225,"_",D225)</f>
        <v>s25q158_feed_type</v>
      </c>
      <c r="F225" s="16" t="s">
        <v>604</v>
      </c>
      <c r="G225" s="16" t="str">
        <f t="shared" ref="G225:G231" si="22">CONCATENATE(UPPER(B225),UPPER(C225),": ",F225)</f>
        <v>S25Q158: Ở đàn nuôi trong chu kỳ gần đây nhất, ông/bà sử dụng loại thức ăn nào cho gà?</v>
      </c>
      <c r="H225" s="16"/>
      <c r="I225" s="16"/>
      <c r="J225" s="16"/>
      <c r="K225" s="16" t="s">
        <v>40</v>
      </c>
      <c r="L225" s="16"/>
      <c r="M225" s="16"/>
      <c r="N225" s="16"/>
      <c r="O225" s="16"/>
      <c r="P225" s="16"/>
      <c r="Q225" s="16"/>
      <c r="R225" s="16"/>
      <c r="S225" s="16"/>
    </row>
    <row r="226" spans="1:19" x14ac:dyDescent="0.2">
      <c r="A226" s="16" t="s">
        <v>41</v>
      </c>
      <c r="B226" s="16" t="s">
        <v>601</v>
      </c>
      <c r="C226" s="16" t="s">
        <v>43</v>
      </c>
      <c r="D226" s="16" t="s">
        <v>605</v>
      </c>
      <c r="E226" s="17" t="str">
        <f t="shared" si="21"/>
        <v>s25_grp_starter</v>
      </c>
      <c r="F226" s="16" t="s">
        <v>2415</v>
      </c>
      <c r="G226" s="16" t="str">
        <f t="shared" si="22"/>
        <v>S25: Vật tư thú y chăn nuôi-Gà giai đoạn úm/giai đoạn đầu-Starter</v>
      </c>
      <c r="H226" s="16"/>
      <c r="I226" s="16"/>
      <c r="J226" s="16"/>
      <c r="K226" s="16"/>
      <c r="L226" s="16"/>
      <c r="M226" s="16" t="str">
        <f>CONCATENATE("selected(${",E225,"},'agrovet_made')")</f>
        <v>selected(${s25q158_feed_type},'agrovet_made')</v>
      </c>
      <c r="N226" s="16"/>
      <c r="O226" s="16"/>
      <c r="P226" s="16"/>
      <c r="Q226" s="16"/>
      <c r="R226" s="16"/>
      <c r="S226" s="16"/>
    </row>
    <row r="227" spans="1:19" x14ac:dyDescent="0.2">
      <c r="A227" s="16" t="s">
        <v>88</v>
      </c>
      <c r="B227" s="16" t="s">
        <v>601</v>
      </c>
      <c r="C227" s="16" t="s">
        <v>606</v>
      </c>
      <c r="D227" s="16" t="s">
        <v>607</v>
      </c>
      <c r="E227" s="17" t="str">
        <f t="shared" si="21"/>
        <v>s25q159_agvet_no_starter</v>
      </c>
      <c r="F227" s="16" t="str">
        <f>CONCATENATE("&lt;span style='color:blue;'&gt;Giai đoạn gà úm&lt;/span&gt;:Ông/bà sử dụng bao nhiêu bao thức ăn loại giai đoạn đầu cho lứa gà nuôi gần đây nhất (tính theo bao nguyên)?")</f>
        <v>&lt;span style='color:blue;'&gt;Giai đoạn gà úm&lt;/span&gt;:Ông/bà sử dụng bao nhiêu bao thức ăn loại giai đoạn đầu cho lứa gà nuôi gần đây nhất (tính theo bao nguyên)?</v>
      </c>
      <c r="G227" s="16" t="str">
        <f t="shared" si="22"/>
        <v>S25Q159: &lt;span style='color:blue;'&gt;Giai đoạn gà úm&lt;/span&gt;:Ông/bà sử dụng bao nhiêu bao thức ăn loại giai đoạn đầu cho lứa gà nuôi gần đây nhất (tính theo bao nguyên)?</v>
      </c>
      <c r="H227" s="16"/>
      <c r="I227" s="16" t="s">
        <v>106</v>
      </c>
      <c r="J227" s="16"/>
      <c r="K227" s="16" t="s">
        <v>40</v>
      </c>
      <c r="L227" s="16"/>
      <c r="M227" s="16"/>
      <c r="N227" s="16"/>
      <c r="O227" s="16"/>
      <c r="P227" s="16"/>
      <c r="Q227" s="16"/>
      <c r="R227" s="16"/>
      <c r="S227" s="16"/>
    </row>
    <row r="228" spans="1:19" x14ac:dyDescent="0.2">
      <c r="A228" s="16" t="s">
        <v>88</v>
      </c>
      <c r="B228" s="16" t="s">
        <v>601</v>
      </c>
      <c r="C228" s="16" t="s">
        <v>608</v>
      </c>
      <c r="D228" s="16" t="s">
        <v>609</v>
      </c>
      <c r="E228" s="17" t="str">
        <f t="shared" si="21"/>
        <v>s25q160_agvet_starter_weight</v>
      </c>
      <c r="F228" s="16" t="str">
        <f>CONCATENATE("&lt;span style='color:blue;'&gt;Giai đoạn gà úm&lt;/span&gt;: Mỗi bao đó là bao nhiêu kilogram?")</f>
        <v>&lt;span style='color:blue;'&gt;Giai đoạn gà úm&lt;/span&gt;: Mỗi bao đó là bao nhiêu kilogram?</v>
      </c>
      <c r="G228" s="16" t="str">
        <f t="shared" si="22"/>
        <v>S25Q160: &lt;span style='color:blue;'&gt;Giai đoạn gà úm&lt;/span&gt;: Mỗi bao đó là bao nhiêu kilogram?</v>
      </c>
      <c r="H228" s="16" t="s">
        <v>2769</v>
      </c>
      <c r="I228" s="16" t="s">
        <v>106</v>
      </c>
      <c r="J228" s="16"/>
      <c r="K228" s="16" t="s">
        <v>40</v>
      </c>
      <c r="L228" s="16"/>
      <c r="M228" s="16"/>
      <c r="N228" s="16"/>
      <c r="O228" s="16"/>
      <c r="P228" s="16"/>
      <c r="Q228" s="16"/>
      <c r="R228" s="16"/>
      <c r="S228" s="16"/>
    </row>
    <row r="229" spans="1:19" x14ac:dyDescent="0.2">
      <c r="A229" s="16" t="s">
        <v>88</v>
      </c>
      <c r="B229" s="16" t="s">
        <v>601</v>
      </c>
      <c r="C229" s="16" t="s">
        <v>610</v>
      </c>
      <c r="D229" s="16" t="s">
        <v>611</v>
      </c>
      <c r="E229" s="17" t="str">
        <f t="shared" si="21"/>
        <v>s25q161_agvet_starter_cost</v>
      </c>
      <c r="F229" s="16" t="str">
        <f>CONCATENATE("&lt;span style='color:blue;'&gt;Giai đoạn gà úm&lt;/span&gt;: Giá một bao đó là bao nhiêu tiền?")</f>
        <v>&lt;span style='color:blue;'&gt;Giai đoạn gà úm&lt;/span&gt;: Giá một bao đó là bao nhiêu tiền?</v>
      </c>
      <c r="G229" s="16" t="str">
        <f t="shared" si="22"/>
        <v>S25Q161: &lt;span style='color:blue;'&gt;Giai đoạn gà úm&lt;/span&gt;: Giá một bao đó là bao nhiêu tiền?</v>
      </c>
      <c r="H229" s="16"/>
      <c r="I229" s="16" t="s">
        <v>106</v>
      </c>
      <c r="J229" s="16"/>
      <c r="K229" s="16" t="s">
        <v>40</v>
      </c>
      <c r="L229" s="16"/>
      <c r="M229" s="16"/>
      <c r="N229" s="16"/>
      <c r="O229" s="16"/>
      <c r="P229" s="16"/>
      <c r="Q229" s="16"/>
      <c r="R229" s="16"/>
      <c r="S229" s="16"/>
    </row>
    <row r="230" spans="1:19" x14ac:dyDescent="0.2">
      <c r="A230" s="16" t="s">
        <v>612</v>
      </c>
      <c r="B230" s="16" t="s">
        <v>601</v>
      </c>
      <c r="C230" s="16" t="s">
        <v>613</v>
      </c>
      <c r="D230" s="16" t="s">
        <v>614</v>
      </c>
      <c r="E230" s="17" t="str">
        <f t="shared" si="21"/>
        <v>s25q162_agvet_starter_reason</v>
      </c>
      <c r="F230" s="16" t="str">
        <f>CONCATENATE("&lt;span style='color:blue;'&gt;Giai đoạn gà úm&lt;/span&gt;: Tại sao ông/bà chọn sử dụng loại thức ăn này?")</f>
        <v>&lt;span style='color:blue;'&gt;Giai đoạn gà úm&lt;/span&gt;: Tại sao ông/bà chọn sử dụng loại thức ăn này?</v>
      </c>
      <c r="G230" s="16" t="str">
        <f t="shared" si="22"/>
        <v>S25Q162: &lt;span style='color:blue;'&gt;Giai đoạn gà úm&lt;/span&gt;: Tại sao ông/bà chọn sử dụng loại thức ăn này?</v>
      </c>
      <c r="H230" s="16" t="s">
        <v>615</v>
      </c>
      <c r="I230" s="16"/>
      <c r="J230" s="16"/>
      <c r="K230" s="16" t="s">
        <v>40</v>
      </c>
      <c r="L230" s="16"/>
      <c r="M230" s="16"/>
      <c r="N230" s="16"/>
      <c r="O230" s="16"/>
      <c r="P230" s="16"/>
      <c r="Q230" s="16"/>
      <c r="R230" s="16"/>
      <c r="S230" s="16"/>
    </row>
    <row r="231" spans="1:19" x14ac:dyDescent="0.2">
      <c r="A231" s="16" t="s">
        <v>616</v>
      </c>
      <c r="B231" s="16" t="s">
        <v>601</v>
      </c>
      <c r="C231" s="16" t="s">
        <v>617</v>
      </c>
      <c r="D231" s="16" t="s">
        <v>618</v>
      </c>
      <c r="E231" s="17" t="str">
        <f t="shared" si="21"/>
        <v>s25q163_agvet_starter_addons</v>
      </c>
      <c r="F231" s="16" t="str">
        <f>CONCATENATE("&lt;span style='color:blue;'&gt;Giai đoạn gà úm&lt;/span&gt;: Ông/bà có trộn bổ sung thành phần nào khác vào thức ăn không?")</f>
        <v>&lt;span style='color:blue;'&gt;Giai đoạn gà úm&lt;/span&gt;: Ông/bà có trộn bổ sung thành phần nào khác vào thức ăn không?</v>
      </c>
      <c r="G231" s="16" t="str">
        <f t="shared" si="22"/>
        <v>S25Q163: &lt;span style='color:blue;'&gt;Giai đoạn gà úm&lt;/span&gt;: Ông/bà có trộn bổ sung thành phần nào khác vào thức ăn không?</v>
      </c>
      <c r="H231" s="16"/>
      <c r="I231" s="16" t="s">
        <v>382</v>
      </c>
      <c r="J231" s="16" t="s">
        <v>383</v>
      </c>
      <c r="K231" s="16" t="s">
        <v>40</v>
      </c>
      <c r="L231" s="16"/>
      <c r="M231" s="16"/>
      <c r="N231" s="16"/>
      <c r="O231" s="16"/>
      <c r="P231" s="16"/>
      <c r="Q231" s="16"/>
      <c r="R231" s="16"/>
      <c r="S231" s="16"/>
    </row>
    <row r="232" spans="1:19" ht="12.75" thickBot="1" x14ac:dyDescent="0.25">
      <c r="A232" s="4" t="s">
        <v>74</v>
      </c>
      <c r="C232" s="4" t="s">
        <v>43</v>
      </c>
      <c r="E232" s="6"/>
    </row>
    <row r="233" spans="1:19" x14ac:dyDescent="0.2">
      <c r="A233" s="67" t="s">
        <v>619</v>
      </c>
      <c r="B233" s="72" t="s">
        <v>620</v>
      </c>
      <c r="C233" s="68" t="s">
        <v>621</v>
      </c>
      <c r="D233" s="72" t="s">
        <v>622</v>
      </c>
      <c r="E233" s="69" t="str">
        <f t="shared" ref="E233:E239" si="23">CONCATENATE(B233,C233,"_",D233)</f>
        <v>s26q165_agvet_starter_abs</v>
      </c>
      <c r="F233" s="68" t="s">
        <v>623</v>
      </c>
      <c r="G233" s="68" t="str">
        <f>CONCATENATE(UPPER(B233),UPPER(C233),": ",F233)</f>
        <v>S26Q165: Ông/bà trộn loại kháng sinh gì?</v>
      </c>
      <c r="H233" s="68"/>
      <c r="I233" s="68"/>
      <c r="J233" s="68"/>
      <c r="K233" s="68" t="s">
        <v>40</v>
      </c>
      <c r="L233" s="68" t="s">
        <v>624</v>
      </c>
      <c r="M233" s="68" t="str">
        <f>CONCATENATE("selected(${",E231,"},'antibiotic')")</f>
        <v>selected(${s25q163_agvet_starter_addons},'antibiotic')</v>
      </c>
      <c r="N233" s="68"/>
      <c r="O233" s="68"/>
      <c r="P233" s="68"/>
      <c r="Q233" s="68"/>
      <c r="R233" s="68"/>
      <c r="S233" s="70"/>
    </row>
    <row r="234" spans="1:19" x14ac:dyDescent="0.2">
      <c r="A234" s="71" t="s">
        <v>123</v>
      </c>
      <c r="B234" s="72" t="s">
        <v>620</v>
      </c>
      <c r="C234" s="72" t="s">
        <v>43</v>
      </c>
      <c r="D234" s="72" t="s">
        <v>622</v>
      </c>
      <c r="E234" s="73" t="str">
        <f t="shared" si="23"/>
        <v>s26_agvet_starter_abs</v>
      </c>
      <c r="F234" s="72" t="s">
        <v>2413</v>
      </c>
      <c r="G234" s="72" t="str">
        <f>CONCATENATE(UPPER(B234),UPPER(C234),": ",F234)</f>
        <v>S26: Thông tin chi tiết về thuốc kháng sinh</v>
      </c>
      <c r="H234" s="72"/>
      <c r="I234" s="72"/>
      <c r="J234" s="72"/>
      <c r="K234" s="72"/>
      <c r="L234" s="72"/>
      <c r="M234" s="72" t="str">
        <f>CONCATENATE("selected(${",E231,"},'antibiotic')")</f>
        <v>selected(${s25q163_agvet_starter_addons},'antibiotic')</v>
      </c>
      <c r="N234" s="72"/>
      <c r="O234" s="74" t="str">
        <f>CONCATENATE("count-selected(${",E233,"})")</f>
        <v>count-selected(${s26q165_agvet_starter_abs})</v>
      </c>
      <c r="P234" s="72"/>
      <c r="Q234" s="72"/>
      <c r="R234" s="72"/>
      <c r="S234" s="75"/>
    </row>
    <row r="235" spans="1:19" x14ac:dyDescent="0.2">
      <c r="A235" s="71" t="s">
        <v>127</v>
      </c>
      <c r="B235" s="72" t="s">
        <v>620</v>
      </c>
      <c r="C235" s="72" t="s">
        <v>128</v>
      </c>
      <c r="D235" s="72" t="s">
        <v>625</v>
      </c>
      <c r="E235" s="73" t="str">
        <f t="shared" si="23"/>
        <v>s26c1_cur_agvet_starter_ab</v>
      </c>
      <c r="F235" s="72"/>
      <c r="G235" s="72"/>
      <c r="H235" s="72"/>
      <c r="I235" s="72"/>
      <c r="J235" s="72"/>
      <c r="K235" s="72"/>
      <c r="L235" s="72"/>
      <c r="M235" s="72"/>
      <c r="N235" s="72"/>
      <c r="O235" s="72"/>
      <c r="P235" s="76" t="str">
        <f>CONCATENATE("selected-at(${",E233,"}, position(..)-1)")</f>
        <v>selected-at(${s26q165_agvet_starter_abs}, position(..)-1)</v>
      </c>
      <c r="Q235" s="72"/>
      <c r="R235" s="72"/>
      <c r="S235" s="75"/>
    </row>
    <row r="236" spans="1:19" x14ac:dyDescent="0.2">
      <c r="A236" s="71" t="s">
        <v>127</v>
      </c>
      <c r="B236" s="72" t="s">
        <v>620</v>
      </c>
      <c r="C236" s="72" t="s">
        <v>130</v>
      </c>
      <c r="D236" s="72" t="s">
        <v>626</v>
      </c>
      <c r="E236" s="73" t="str">
        <f t="shared" si="23"/>
        <v>s26c2_cur_agvet_starter_ab_name</v>
      </c>
      <c r="F236" s="72"/>
      <c r="G236" s="72"/>
      <c r="H236" s="72"/>
      <c r="I236" s="72"/>
      <c r="J236" s="72"/>
      <c r="K236" s="72"/>
      <c r="L236" s="72"/>
      <c r="M236" s="72"/>
      <c r="N236" s="72"/>
      <c r="O236" s="72"/>
      <c r="P236" s="76" t="str">
        <f>CONCATENATE("if(string-length(../",E235,") != 0,jr:choice-name(${",E235,"},'${",E233,"}'),'unknown')")</f>
        <v>if(string-length(../s26c1_cur_agvet_starter_ab) != 0,jr:choice-name(${s26c1_cur_agvet_starter_ab},'${s26q165_agvet_starter_abs}'),'unknown')</v>
      </c>
      <c r="Q236" s="72"/>
      <c r="R236" s="72"/>
      <c r="S236" s="75"/>
    </row>
    <row r="237" spans="1:19" x14ac:dyDescent="0.2">
      <c r="A237" s="71" t="s">
        <v>41</v>
      </c>
      <c r="B237" s="72" t="s">
        <v>620</v>
      </c>
      <c r="C237" s="72" t="s">
        <v>43</v>
      </c>
      <c r="D237" s="72" t="s">
        <v>627</v>
      </c>
      <c r="E237" s="73" t="str">
        <f t="shared" si="23"/>
        <v>s26_grp_abs</v>
      </c>
      <c r="F237" s="72" t="s">
        <v>2413</v>
      </c>
      <c r="G237" s="72" t="str">
        <f>CONCATENATE(UPPER(B237),UPPER(C237),": ",F237)</f>
        <v>S26: Thông tin chi tiết về thuốc kháng sinh</v>
      </c>
      <c r="H237" s="72"/>
      <c r="I237" s="72"/>
      <c r="J237" s="72"/>
      <c r="K237" s="72"/>
      <c r="L237" s="72"/>
      <c r="M237" s="72"/>
      <c r="N237" s="72"/>
      <c r="O237" s="74"/>
      <c r="P237" s="72"/>
      <c r="Q237" s="72"/>
      <c r="R237" s="72"/>
      <c r="S237" s="75"/>
    </row>
    <row r="238" spans="1:19" x14ac:dyDescent="0.2">
      <c r="A238" s="72" t="s">
        <v>628</v>
      </c>
      <c r="B238" s="72" t="s">
        <v>620</v>
      </c>
      <c r="C238" s="72" t="s">
        <v>629</v>
      </c>
      <c r="D238" s="72" t="s">
        <v>630</v>
      </c>
      <c r="E238" s="73" t="str">
        <f t="shared" si="23"/>
        <v>s26q166_how_ab_combined</v>
      </c>
      <c r="F238" s="72" t="str">
        <f>CONCATENATE("Loại kháng sinh &lt;span style='color:blue;'&gt;${",E236,"}&lt;/span&gt; là ở dạng đơn hay ở dạng hỗn hợp với các loại kháng sinh khác?")</f>
        <v>Loại kháng sinh &lt;span style='color:blue;'&gt;${s26c2_cur_agvet_starter_ab_name}&lt;/span&gt; là ở dạng đơn hay ở dạng hỗn hợp với các loại kháng sinh khác?</v>
      </c>
      <c r="G238" s="72" t="str">
        <f>CONCATENATE(UPPER(B238),UPPER(C238),": ",F238)</f>
        <v>S26Q166: Loại kháng sinh &lt;span style='color:blue;'&gt;${s26c2_cur_agvet_starter_ab_name}&lt;/span&gt; là ở dạng đơn hay ở dạng hỗn hợp với các loại kháng sinh khác?</v>
      </c>
      <c r="H238" s="72"/>
      <c r="I238" s="72"/>
      <c r="J238" s="72"/>
      <c r="K238" s="72" t="s">
        <v>40</v>
      </c>
      <c r="L238" s="72" t="s">
        <v>50</v>
      </c>
      <c r="M238" s="72"/>
      <c r="N238" s="72"/>
      <c r="O238" s="72"/>
      <c r="P238" s="72"/>
      <c r="Q238" s="72"/>
      <c r="R238" s="72"/>
      <c r="S238" s="72"/>
    </row>
    <row r="239" spans="1:19" x14ac:dyDescent="0.2">
      <c r="A239" s="72" t="s">
        <v>619</v>
      </c>
      <c r="B239" s="72" t="s">
        <v>620</v>
      </c>
      <c r="C239" s="72" t="s">
        <v>631</v>
      </c>
      <c r="D239" s="72" t="s">
        <v>632</v>
      </c>
      <c r="E239" s="73" t="str">
        <f t="shared" si="23"/>
        <v>s26q167_ab_combined</v>
      </c>
      <c r="F239" s="72" t="str">
        <f>CONCATENATE("Chọn loại kháng sinh phối/hỗn hợp cùng với &lt;span style='color:blue;'&gt;${",E236,"}&lt;/span&gt;")</f>
        <v>Chọn loại kháng sinh phối/hỗn hợp cùng với &lt;span style='color:blue;'&gt;${s26c2_cur_agvet_starter_ab_name}&lt;/span&gt;</v>
      </c>
      <c r="G239" s="72" t="str">
        <f>CONCATENATE(UPPER(B239),UPPER(C239),": ",F239)</f>
        <v>S26Q167: Chọn loại kháng sinh phối/hỗn hợp cùng với &lt;span style='color:blue;'&gt;${s26c2_cur_agvet_starter_ab_name}&lt;/span&gt;</v>
      </c>
      <c r="H239" s="72"/>
      <c r="I239" s="72"/>
      <c r="J239" s="72"/>
      <c r="K239" s="72" t="s">
        <v>40</v>
      </c>
      <c r="L239" s="72"/>
      <c r="M239" s="72" t="str">
        <f>CONCATENATE("selected(${",E238,"},'combined')")</f>
        <v>selected(${s26q166_how_ab_combined},'combined')</v>
      </c>
      <c r="N239" s="72"/>
      <c r="O239" s="72"/>
      <c r="P239" s="72"/>
      <c r="Q239" s="72"/>
      <c r="R239" s="72"/>
      <c r="S239" s="72"/>
    </row>
    <row r="240" spans="1:19" x14ac:dyDescent="0.2">
      <c r="A240" s="71" t="s">
        <v>633</v>
      </c>
      <c r="B240" s="72" t="s">
        <v>620</v>
      </c>
      <c r="C240" s="72" t="s">
        <v>634</v>
      </c>
      <c r="D240" s="72" t="s">
        <v>635</v>
      </c>
      <c r="E240" s="73" t="str">
        <f t="shared" ref="E240:E246" si="24">CONCATENATE(B240,C240,"_",D240)</f>
        <v>s26q168_purpose</v>
      </c>
      <c r="F240" s="72" t="str">
        <f>CONCATENATE("&lt;span style='color:blue;'&gt;Giai đoạn gà úm&lt;/span&gt;: Ông/bà dùng &lt;span style='color:blue;'&gt;${",E236,"}&lt;/span&gt;cho mục đích gì?")</f>
        <v>&lt;span style='color:blue;'&gt;Giai đoạn gà úm&lt;/span&gt;: Ông/bà dùng &lt;span style='color:blue;'&gt;${s26c2_cur_agvet_starter_ab_name}&lt;/span&gt;cho mục đích gì?</v>
      </c>
      <c r="G240" s="72" t="str">
        <f t="shared" ref="G240:G246" si="25">CONCATENATE(UPPER(B240),UPPER(C240),": ",F240)</f>
        <v>S26Q168: &lt;span style='color:blue;'&gt;Giai đoạn gà úm&lt;/span&gt;: Ông/bà dùng &lt;span style='color:blue;'&gt;${s26c2_cur_agvet_starter_ab_name}&lt;/span&gt;cho mục đích gì?</v>
      </c>
      <c r="H240" s="72"/>
      <c r="I240" s="72"/>
      <c r="J240" s="72"/>
      <c r="K240" s="72" t="s">
        <v>40</v>
      </c>
      <c r="L240" s="72"/>
      <c r="M240" s="72"/>
      <c r="N240" s="72"/>
      <c r="O240" s="72"/>
      <c r="P240" s="72"/>
      <c r="Q240" s="72"/>
      <c r="R240" s="72"/>
      <c r="S240" s="75"/>
    </row>
    <row r="241" spans="1:19" x14ac:dyDescent="0.2">
      <c r="A241" s="71" t="s">
        <v>636</v>
      </c>
      <c r="B241" s="72" t="s">
        <v>620</v>
      </c>
      <c r="C241" s="72" t="s">
        <v>637</v>
      </c>
      <c r="D241" s="72" t="s">
        <v>638</v>
      </c>
      <c r="E241" s="73" t="str">
        <f t="shared" si="24"/>
        <v>s26q169_use_reason</v>
      </c>
      <c r="F241" s="72" t="str">
        <f>CONCATENATE("&lt;span style='color:blue;'&gt;Giai đoạn gà úm&lt;/span&gt;: Vì sao ông/bà quyết định sử dụng loại &lt;span style='color:blue;'&gt;${",E236,"}&lt;/span&gt;?")</f>
        <v>&lt;span style='color:blue;'&gt;Giai đoạn gà úm&lt;/span&gt;: Vì sao ông/bà quyết định sử dụng loại &lt;span style='color:blue;'&gt;${s26c2_cur_agvet_starter_ab_name}&lt;/span&gt;?</v>
      </c>
      <c r="G241" s="72" t="str">
        <f t="shared" si="25"/>
        <v>S26Q169: &lt;span style='color:blue;'&gt;Giai đoạn gà úm&lt;/span&gt;: Vì sao ông/bà quyết định sử dụng loại &lt;span style='color:blue;'&gt;${s26c2_cur_agvet_starter_ab_name}&lt;/span&gt;?</v>
      </c>
      <c r="H241" s="72"/>
      <c r="I241" s="72"/>
      <c r="J241" s="72"/>
      <c r="K241" s="72" t="s">
        <v>40</v>
      </c>
      <c r="L241" s="72"/>
      <c r="M241" s="72"/>
      <c r="N241" s="72"/>
      <c r="O241" s="72"/>
      <c r="P241" s="72"/>
      <c r="Q241" s="72"/>
      <c r="R241" s="72"/>
      <c r="S241" s="75"/>
    </row>
    <row r="242" spans="1:19" x14ac:dyDescent="0.2">
      <c r="A242" s="71" t="s">
        <v>639</v>
      </c>
      <c r="B242" s="72" t="s">
        <v>620</v>
      </c>
      <c r="C242" s="72" t="s">
        <v>640</v>
      </c>
      <c r="D242" s="72" t="s">
        <v>641</v>
      </c>
      <c r="E242" s="73" t="str">
        <f t="shared" si="24"/>
        <v>s26q170_source</v>
      </c>
      <c r="F242" s="72" t="str">
        <f>CONCATENATE("&lt;span style='color:blue;'&gt;Giai đoạn gà úm&lt;/span&gt;: Ông/bà mua &lt;span style='color:blue;'&gt;${",E236,"}&lt;/span&gt; này ở đâu?")</f>
        <v>&lt;span style='color:blue;'&gt;Giai đoạn gà úm&lt;/span&gt;: Ông/bà mua &lt;span style='color:blue;'&gt;${s26c2_cur_agvet_starter_ab_name}&lt;/span&gt; này ở đâu?</v>
      </c>
      <c r="G242" s="72" t="str">
        <f t="shared" si="25"/>
        <v>S26Q170: &lt;span style='color:blue;'&gt;Giai đoạn gà úm&lt;/span&gt;: Ông/bà mua &lt;span style='color:blue;'&gt;${s26c2_cur_agvet_starter_ab_name}&lt;/span&gt; này ở đâu?</v>
      </c>
      <c r="H242" s="72"/>
      <c r="I242" s="72"/>
      <c r="J242" s="72"/>
      <c r="K242" s="72" t="s">
        <v>40</v>
      </c>
      <c r="L242" s="72"/>
      <c r="M242" s="72"/>
      <c r="N242" s="72"/>
      <c r="O242" s="72"/>
      <c r="P242" s="72"/>
      <c r="Q242" s="72"/>
      <c r="R242" s="72"/>
      <c r="S242" s="75"/>
    </row>
    <row r="243" spans="1:19" x14ac:dyDescent="0.2">
      <c r="A243" s="71" t="s">
        <v>642</v>
      </c>
      <c r="B243" s="72" t="s">
        <v>620</v>
      </c>
      <c r="C243" s="72" t="s">
        <v>643</v>
      </c>
      <c r="D243" s="72" t="s">
        <v>644</v>
      </c>
      <c r="E243" s="73" t="str">
        <f t="shared" si="24"/>
        <v>s26q171_how_admin</v>
      </c>
      <c r="F243" s="72" t="str">
        <f>CONCATENATE("&lt;span style='color:blue;'&gt;Giai đoạn gà úm&lt;/span&gt;: Kháng sinh &lt;span style='color:blue;'&gt;${",E236,"}&lt;/span&gt;được dùng cho gà theo đường nào?")</f>
        <v>&lt;span style='color:blue;'&gt;Giai đoạn gà úm&lt;/span&gt;: Kháng sinh &lt;span style='color:blue;'&gt;${s26c2_cur_agvet_starter_ab_name}&lt;/span&gt;được dùng cho gà theo đường nào?</v>
      </c>
      <c r="G243" s="72" t="str">
        <f t="shared" si="25"/>
        <v>S26Q171: &lt;span style='color:blue;'&gt;Giai đoạn gà úm&lt;/span&gt;: Kháng sinh &lt;span style='color:blue;'&gt;${s26c2_cur_agvet_starter_ab_name}&lt;/span&gt;được dùng cho gà theo đường nào?</v>
      </c>
      <c r="H243" s="72"/>
      <c r="I243" s="72"/>
      <c r="J243" s="72"/>
      <c r="K243" s="72" t="s">
        <v>40</v>
      </c>
      <c r="L243" s="72"/>
      <c r="M243" s="72"/>
      <c r="N243" s="72"/>
      <c r="O243" s="72"/>
      <c r="P243" s="72"/>
      <c r="Q243" s="72"/>
      <c r="R243" s="72"/>
      <c r="S243" s="75"/>
    </row>
    <row r="244" spans="1:19" x14ac:dyDescent="0.2">
      <c r="A244" s="71" t="s">
        <v>645</v>
      </c>
      <c r="B244" s="72" t="s">
        <v>620</v>
      </c>
      <c r="C244" s="72" t="s">
        <v>646</v>
      </c>
      <c r="D244" s="72" t="s">
        <v>647</v>
      </c>
      <c r="E244" s="73" t="str">
        <f t="shared" si="24"/>
        <v>s26q172_who_admin</v>
      </c>
      <c r="F244" s="72" t="str">
        <f>CONCATENATE("&lt;span style='color:blue;'&gt;Giai đoạn gà úm&lt;/span&gt;: Ai là người dùng/trộn/tiêm &lt;span style='color:blue;'&gt;${",E236,"}&lt;/span&gt; này cho đàn gà?")</f>
        <v>&lt;span style='color:blue;'&gt;Giai đoạn gà úm&lt;/span&gt;: Ai là người dùng/trộn/tiêm &lt;span style='color:blue;'&gt;${s26c2_cur_agvet_starter_ab_name}&lt;/span&gt; này cho đàn gà?</v>
      </c>
      <c r="G244" s="72" t="str">
        <f t="shared" si="25"/>
        <v>S26Q172: &lt;span style='color:blue;'&gt;Giai đoạn gà úm&lt;/span&gt;: Ai là người dùng/trộn/tiêm &lt;span style='color:blue;'&gt;${s26c2_cur_agvet_starter_ab_name}&lt;/span&gt; này cho đàn gà?</v>
      </c>
      <c r="H244" s="72"/>
      <c r="I244" s="72"/>
      <c r="J244" s="72"/>
      <c r="K244" s="72" t="s">
        <v>40</v>
      </c>
      <c r="L244" s="72"/>
      <c r="M244" s="72"/>
      <c r="N244" s="72"/>
      <c r="O244" s="72"/>
      <c r="P244" s="72"/>
      <c r="Q244" s="72"/>
      <c r="R244" s="72"/>
      <c r="S244" s="75"/>
    </row>
    <row r="245" spans="1:19" x14ac:dyDescent="0.2">
      <c r="A245" s="71" t="s">
        <v>648</v>
      </c>
      <c r="B245" s="72" t="s">
        <v>620</v>
      </c>
      <c r="C245" s="72" t="s">
        <v>649</v>
      </c>
      <c r="D245" s="72" t="s">
        <v>650</v>
      </c>
      <c r="E245" s="73" t="str">
        <f t="shared" si="24"/>
        <v>s26q173_how_knowhow</v>
      </c>
      <c r="F245" s="72" t="str">
        <f>CONCATENATE("&lt;span style='color:blue;'&gt;Giai đoạn gà úm&lt;/span&gt;: Làm thế nào ông/bà hay họ biết cách sử dụng loại kháng sinh &lt;span style='color:blue;'&gt;${",E236,"}&lt;/span&gt;này?")</f>
        <v>&lt;span style='color:blue;'&gt;Giai đoạn gà úm&lt;/span&gt;: Làm thế nào ông/bà hay họ biết cách sử dụng loại kháng sinh &lt;span style='color:blue;'&gt;${s26c2_cur_agvet_starter_ab_name}&lt;/span&gt;này?</v>
      </c>
      <c r="G245" s="72" t="str">
        <f t="shared" si="25"/>
        <v>S26Q173: &lt;span style='color:blue;'&gt;Giai đoạn gà úm&lt;/span&gt;: Làm thế nào ông/bà hay họ biết cách sử dụng loại kháng sinh &lt;span style='color:blue;'&gt;${s26c2_cur_agvet_starter_ab_name}&lt;/span&gt;này?</v>
      </c>
      <c r="H245" s="72"/>
      <c r="I245" s="72"/>
      <c r="J245" s="72"/>
      <c r="K245" s="72" t="s">
        <v>40</v>
      </c>
      <c r="L245" s="72"/>
      <c r="M245" s="72" t="str">
        <f>CONCATENATE("selected(${",E244,"},'myself') or selected(${",E244,"},'farm_worker') or selected(${",E244,"},'friends')")</f>
        <v>selected(${s26q172_who_admin},'myself') or selected(${s26q172_who_admin},'farm_worker') or selected(${s26q172_who_admin},'friends')</v>
      </c>
      <c r="N245" s="72"/>
      <c r="O245" s="72"/>
      <c r="P245" s="72"/>
      <c r="Q245" s="72"/>
      <c r="R245" s="72"/>
      <c r="S245" s="75"/>
    </row>
    <row r="246" spans="1:19" x14ac:dyDescent="0.2">
      <c r="A246" s="71" t="s">
        <v>88</v>
      </c>
      <c r="B246" s="72" t="s">
        <v>620</v>
      </c>
      <c r="C246" s="72" t="s">
        <v>651</v>
      </c>
      <c r="D246" s="72" t="s">
        <v>652</v>
      </c>
      <c r="E246" s="73" t="str">
        <f t="shared" si="24"/>
        <v>s26q174_no_occassions</v>
      </c>
      <c r="F246" s="72" t="str">
        <f>CONCATENATE("&lt;span style='color:blue;'&gt;Giai đoạn gà úm&lt;/span&gt;: Ông/bà đã dùng &lt;span style='color:blue;'&gt;${",E236,"}&lt;/span&gt; cho đàn gà của mình bao nhiêu lần trong lứa đó?")</f>
        <v>&lt;span style='color:blue;'&gt;Giai đoạn gà úm&lt;/span&gt;: Ông/bà đã dùng &lt;span style='color:blue;'&gt;${s26c2_cur_agvet_starter_ab_name}&lt;/span&gt; cho đàn gà của mình bao nhiêu lần trong lứa đó?</v>
      </c>
      <c r="G246" s="72" t="str">
        <f t="shared" si="25"/>
        <v>S26Q174: &lt;span style='color:blue;'&gt;Giai đoạn gà úm&lt;/span&gt;: Ông/bà đã dùng &lt;span style='color:blue;'&gt;${s26c2_cur_agvet_starter_ab_name}&lt;/span&gt; cho đàn gà của mình bao nhiêu lần trong lứa đó?</v>
      </c>
      <c r="H246" s="72"/>
      <c r="I246" s="72" t="s">
        <v>184</v>
      </c>
      <c r="J246" s="72"/>
      <c r="K246" s="72" t="s">
        <v>40</v>
      </c>
      <c r="L246" s="72"/>
      <c r="M246" s="72"/>
      <c r="N246" s="72"/>
      <c r="O246" s="72"/>
      <c r="P246" s="72"/>
      <c r="Q246" s="72"/>
      <c r="R246" s="72"/>
      <c r="S246" s="75"/>
    </row>
    <row r="247" spans="1:19" x14ac:dyDescent="0.2">
      <c r="A247" s="62" t="s">
        <v>74</v>
      </c>
      <c r="C247" s="4" t="s">
        <v>43</v>
      </c>
      <c r="S247" s="63"/>
    </row>
    <row r="248" spans="1:19" x14ac:dyDescent="0.2">
      <c r="A248" s="71" t="s">
        <v>123</v>
      </c>
      <c r="B248" s="72" t="s">
        <v>620</v>
      </c>
      <c r="C248" s="72" t="s">
        <v>43</v>
      </c>
      <c r="D248" s="72" t="s">
        <v>653</v>
      </c>
      <c r="E248" s="73" t="str">
        <f>CONCATENATE(B248,C248,"_",D248)</f>
        <v>s26_rpt_agvet_starter_ab_occ</v>
      </c>
      <c r="F248" s="72" t="s">
        <v>654</v>
      </c>
      <c r="G248" s="72" t="str">
        <f>CONCATENATE(UPPER(B248),UPPER(C248),": ",F248)</f>
        <v>S26: Chi tiết các lần dùng</v>
      </c>
      <c r="H248" s="72"/>
      <c r="I248" s="72"/>
      <c r="J248" s="72"/>
      <c r="K248" s="72"/>
      <c r="L248" s="72"/>
      <c r="M248" s="72"/>
      <c r="N248" s="72"/>
      <c r="O248" s="72" t="str">
        <f>CONCATENATE("${",E246,"}")</f>
        <v>${s26q174_no_occassions}</v>
      </c>
      <c r="P248" s="72"/>
      <c r="Q248" s="72"/>
      <c r="R248" s="72"/>
      <c r="S248" s="75"/>
    </row>
    <row r="249" spans="1:19" x14ac:dyDescent="0.2">
      <c r="A249" s="71" t="s">
        <v>127</v>
      </c>
      <c r="B249" s="72" t="s">
        <v>655</v>
      </c>
      <c r="C249" s="72" t="s">
        <v>128</v>
      </c>
      <c r="D249" s="72" t="s">
        <v>656</v>
      </c>
      <c r="E249" s="73" t="str">
        <f>CONCATENATE(B249,C249,"_",D249)</f>
        <v>s36c1_cur_rpt_agvet_starter_ab_name</v>
      </c>
      <c r="F249" s="72"/>
      <c r="G249" s="72"/>
      <c r="H249" s="72"/>
      <c r="I249" s="72"/>
      <c r="J249" s="72"/>
      <c r="K249" s="72"/>
      <c r="L249" s="72"/>
      <c r="M249" s="72"/>
      <c r="N249" s="72"/>
      <c r="O249" s="72"/>
      <c r="P249" s="72" t="str">
        <f>CONCATENATE("${",E236,"}")</f>
        <v>${s26c2_cur_agvet_starter_ab_name}</v>
      </c>
      <c r="Q249" s="72"/>
      <c r="R249" s="72"/>
      <c r="S249" s="75"/>
    </row>
    <row r="250" spans="1:19" x14ac:dyDescent="0.2">
      <c r="A250" s="71" t="s">
        <v>127</v>
      </c>
      <c r="B250" s="72" t="s">
        <v>620</v>
      </c>
      <c r="C250" s="72" t="s">
        <v>128</v>
      </c>
      <c r="D250" s="72" t="s">
        <v>657</v>
      </c>
      <c r="E250" s="73" t="str">
        <f>CONCATENATE(B250,C250,"_",D250)</f>
        <v>s26c1_cur_agvet_starter_ab_occassion</v>
      </c>
      <c r="F250" s="72"/>
      <c r="G250" s="72"/>
      <c r="H250" s="72"/>
      <c r="I250" s="72"/>
      <c r="J250" s="72"/>
      <c r="K250" s="72"/>
      <c r="L250" s="72"/>
      <c r="M250" s="72"/>
      <c r="N250" s="72"/>
      <c r="O250" s="72"/>
      <c r="P250" s="72" t="s">
        <v>658</v>
      </c>
      <c r="Q250" s="72"/>
      <c r="R250" s="72"/>
      <c r="S250" s="75"/>
    </row>
    <row r="251" spans="1:19" x14ac:dyDescent="0.2">
      <c r="A251" s="71" t="s">
        <v>88</v>
      </c>
      <c r="B251" s="72" t="s">
        <v>620</v>
      </c>
      <c r="C251" s="72" t="s">
        <v>659</v>
      </c>
      <c r="D251" s="72" t="s">
        <v>660</v>
      </c>
      <c r="E251" s="73" t="str">
        <f>CONCATENATE(B251,C251,"_",D251)</f>
        <v>s26q175_birds_age</v>
      </c>
      <c r="F251" s="72" t="str">
        <f>CONCATENATE("Ông/bà dùng &lt;span style='color:blue;'&gt;${",E249,"}&lt;/span&gt; the &lt;span style='color:blue;'&gt;${",E250,"}&lt;/span&gt; cho đàn gà của mình vào giai đoạn tuổi nào? (Lưu ý: tính theo tuần tuổi)")</f>
        <v>Ông/bà dùng &lt;span style='color:blue;'&gt;${s36c1_cur_rpt_agvet_starter_ab_name}&lt;/span&gt; the &lt;span style='color:blue;'&gt;${s26c1_cur_agvet_starter_ab_occassion}&lt;/span&gt; cho đàn gà của mình vào giai đoạn tuổi nào? (Lưu ý: tính theo tuần tuổi)</v>
      </c>
      <c r="G251" s="72" t="str">
        <f>CONCATENATE(UPPER(B251),UPPER(C251),": ",F251)</f>
        <v>S26Q175: Ông/bà dùng &lt;span style='color:blue;'&gt;${s36c1_cur_rpt_agvet_starter_ab_name}&lt;/span&gt; the &lt;span style='color:blue;'&gt;${s26c1_cur_agvet_starter_ab_occassion}&lt;/span&gt; cho đàn gà của mình vào giai đoạn tuổi nào? (Lưu ý: tính theo tuần tuổi)</v>
      </c>
      <c r="H251" s="72" t="s">
        <v>2420</v>
      </c>
      <c r="I251" s="72" t="s">
        <v>106</v>
      </c>
      <c r="J251" s="72"/>
      <c r="K251" s="72" t="s">
        <v>40</v>
      </c>
      <c r="L251" s="72"/>
      <c r="M251" s="72"/>
      <c r="N251" s="72"/>
      <c r="O251" s="72"/>
      <c r="P251" s="72"/>
      <c r="Q251" s="72"/>
      <c r="R251" s="72"/>
      <c r="S251" s="75"/>
    </row>
    <row r="252" spans="1:19" x14ac:dyDescent="0.2">
      <c r="A252" s="71" t="s">
        <v>88</v>
      </c>
      <c r="B252" s="72" t="s">
        <v>620</v>
      </c>
      <c r="C252" s="72" t="s">
        <v>661</v>
      </c>
      <c r="D252" s="72" t="s">
        <v>598</v>
      </c>
      <c r="E252" s="73" t="str">
        <f>CONCATENATE(B252,C252,"_",D252)</f>
        <v>s26q176_cost</v>
      </c>
      <c r="F252" s="72" t="str">
        <f>CONCATENATE("Chi phí cho &lt;span style='color:blue;'&gt;${",E249,"}&lt;/span&gt; lầndùng đó &lt;span style='color:blue;'&gt;${",E250,"}&lt;/span&gt; là khoảng bao nhiêu? (Lưu ý: tính bằng nghìn VNĐ)")</f>
        <v>Chi phí cho &lt;span style='color:blue;'&gt;${s36c1_cur_rpt_agvet_starter_ab_name}&lt;/span&gt; lầndùng đó &lt;span style='color:blue;'&gt;${s26c1_cur_agvet_starter_ab_occassion}&lt;/span&gt; là khoảng bao nhiêu? (Lưu ý: tính bằng nghìn VNĐ)</v>
      </c>
      <c r="G252" s="72" t="str">
        <f>CONCATENATE(UPPER(B252),UPPER(C252),": ",F252)</f>
        <v>S26Q176: Chi phí cho &lt;span style='color:blue;'&gt;${s36c1_cur_rpt_agvet_starter_ab_name}&lt;/span&gt; lầndùng đó &lt;span style='color:blue;'&gt;${s26c1_cur_agvet_starter_ab_occassion}&lt;/span&gt; là khoảng bao nhiêu? (Lưu ý: tính bằng nghìn VNĐ)</v>
      </c>
      <c r="H252" s="72" t="s">
        <v>2421</v>
      </c>
      <c r="I252" s="72" t="s">
        <v>106</v>
      </c>
      <c r="J252" s="72"/>
      <c r="K252" s="72" t="s">
        <v>40</v>
      </c>
      <c r="L252" s="72"/>
      <c r="M252" s="72"/>
      <c r="N252" s="72"/>
      <c r="O252" s="72"/>
      <c r="P252" s="72"/>
      <c r="Q252" s="72"/>
      <c r="R252" s="72"/>
      <c r="S252" s="75"/>
    </row>
    <row r="253" spans="1:19" x14ac:dyDescent="0.2">
      <c r="A253" s="62" t="s">
        <v>147</v>
      </c>
      <c r="C253" s="4" t="s">
        <v>43</v>
      </c>
      <c r="S253" s="63"/>
    </row>
    <row r="254" spans="1:19" ht="12.75" thickBot="1" x14ac:dyDescent="0.25">
      <c r="A254" s="64" t="s">
        <v>147</v>
      </c>
      <c r="B254" s="65"/>
      <c r="C254" s="65" t="s">
        <v>43</v>
      </c>
      <c r="D254" s="65"/>
      <c r="E254" s="65"/>
      <c r="F254" s="65"/>
      <c r="G254" s="65"/>
      <c r="H254" s="65"/>
      <c r="I254" s="65"/>
      <c r="J254" s="65"/>
      <c r="K254" s="65"/>
      <c r="L254" s="65"/>
      <c r="M254" s="65"/>
      <c r="N254" s="65"/>
      <c r="O254" s="65"/>
      <c r="P254" s="65"/>
      <c r="Q254" s="65"/>
      <c r="R254" s="65"/>
      <c r="S254" s="66"/>
    </row>
    <row r="255" spans="1:19" x14ac:dyDescent="0.2">
      <c r="A255" s="52" t="s">
        <v>662</v>
      </c>
      <c r="B255" s="53" t="s">
        <v>620</v>
      </c>
      <c r="C255" s="53" t="s">
        <v>663</v>
      </c>
      <c r="D255" s="53" t="s">
        <v>664</v>
      </c>
      <c r="E255" s="54" t="str">
        <f>CONCATENATE(B255,C255,"_",D255)</f>
        <v>s26q177_vitamins</v>
      </c>
      <c r="F255" s="53" t="s">
        <v>665</v>
      </c>
      <c r="G255" s="53" t="str">
        <f>CONCATENATE(UPPER(B255),UPPER(C255),": ",F255)</f>
        <v>S26Q177: Ông/bà có bổ sung loại vitamin nào không</v>
      </c>
      <c r="H255" s="53"/>
      <c r="I255" s="53"/>
      <c r="J255" s="53"/>
      <c r="K255" s="53" t="s">
        <v>40</v>
      </c>
      <c r="L255" s="53" t="s">
        <v>624</v>
      </c>
      <c r="M255" s="53" t="str">
        <f>CONCATENATE("selected(${",E231,"},'vitamins')")</f>
        <v>selected(${s25q163_agvet_starter_addons},'vitamins')</v>
      </c>
      <c r="N255" s="53"/>
      <c r="O255" s="53"/>
      <c r="P255" s="53"/>
      <c r="Q255" s="53"/>
      <c r="R255" s="53"/>
      <c r="S255" s="55"/>
    </row>
    <row r="256" spans="1:19" x14ac:dyDescent="0.2">
      <c r="A256" s="56" t="s">
        <v>123</v>
      </c>
      <c r="B256" s="57" t="s">
        <v>620</v>
      </c>
      <c r="C256" s="57" t="s">
        <v>43</v>
      </c>
      <c r="D256" s="57" t="s">
        <v>666</v>
      </c>
      <c r="E256" s="58" t="str">
        <f>CONCATENATE(B256,C256,"_",D256)</f>
        <v>s26_rpt_vitamins</v>
      </c>
      <c r="F256" s="57" t="s">
        <v>667</v>
      </c>
      <c r="G256" s="57" t="str">
        <f>CONCATENATE(UPPER(B256),UPPER(C256),": ",F256)</f>
        <v>S26: Thông tin chi tiết về Vitamin</v>
      </c>
      <c r="H256" s="57"/>
      <c r="I256" s="57"/>
      <c r="J256" s="57"/>
      <c r="K256" s="57"/>
      <c r="L256" s="57"/>
      <c r="M256" s="57" t="str">
        <f>CONCATENATE("selected(${",E231,"},'vitamins')")</f>
        <v>selected(${s25q163_agvet_starter_addons},'vitamins')</v>
      </c>
      <c r="N256" s="57"/>
      <c r="O256" s="59" t="str">
        <f>CONCATENATE("count-selected(${",E255,"})")</f>
        <v>count-selected(${s26q177_vitamins})</v>
      </c>
      <c r="P256" s="57"/>
      <c r="Q256" s="57"/>
      <c r="R256" s="57"/>
      <c r="S256" s="60"/>
    </row>
    <row r="257" spans="1:19" x14ac:dyDescent="0.2">
      <c r="A257" s="56" t="s">
        <v>127</v>
      </c>
      <c r="B257" s="57" t="s">
        <v>620</v>
      </c>
      <c r="C257" s="57" t="s">
        <v>128</v>
      </c>
      <c r="D257" s="57" t="s">
        <v>668</v>
      </c>
      <c r="E257" s="58" t="str">
        <f>CONCATENATE(B257,C257,"_",D257)</f>
        <v>s26c1_cur_agvet_starter_vitamin</v>
      </c>
      <c r="F257" s="57"/>
      <c r="G257" s="57"/>
      <c r="H257" s="57"/>
      <c r="I257" s="57"/>
      <c r="J257" s="57"/>
      <c r="K257" s="57"/>
      <c r="L257" s="57"/>
      <c r="M257" s="57"/>
      <c r="N257" s="57"/>
      <c r="O257" s="57"/>
      <c r="P257" s="61" t="str">
        <f>CONCATENATE("selected-at(${",E255,"}, position(..)-1)")</f>
        <v>selected-at(${s26q177_vitamins}, position(..)-1)</v>
      </c>
      <c r="Q257" s="57"/>
      <c r="R257" s="57"/>
      <c r="S257" s="60"/>
    </row>
    <row r="258" spans="1:19" x14ac:dyDescent="0.2">
      <c r="A258" s="56" t="s">
        <v>127</v>
      </c>
      <c r="B258" s="57" t="s">
        <v>620</v>
      </c>
      <c r="C258" s="57" t="s">
        <v>130</v>
      </c>
      <c r="D258" s="57" t="s">
        <v>669</v>
      </c>
      <c r="E258" s="58" t="str">
        <f>CONCATENATE(B258,C258,"_",D258)</f>
        <v>s26c2_cur_agvet_starter_vitamin_name</v>
      </c>
      <c r="F258" s="57"/>
      <c r="G258" s="57"/>
      <c r="H258" s="57"/>
      <c r="I258" s="57"/>
      <c r="J258" s="57"/>
      <c r="K258" s="57"/>
      <c r="L258" s="57"/>
      <c r="M258" s="57"/>
      <c r="N258" s="57"/>
      <c r="O258" s="57"/>
      <c r="P258" s="61" t="str">
        <f>CONCATENATE("if(string-length(../",E257,") != 0,jr:choice-name(${",E257,"},'${",E255,"}'),'unknown')")</f>
        <v>if(string-length(../s26c1_cur_agvet_starter_vitamin) != 0,jr:choice-name(${s26c1_cur_agvet_starter_vitamin},'${s26q177_vitamins}'),'unknown')</v>
      </c>
      <c r="Q258" s="57"/>
      <c r="R258" s="57"/>
      <c r="S258" s="60"/>
    </row>
    <row r="259" spans="1:19" x14ac:dyDescent="0.2">
      <c r="A259" s="56" t="s">
        <v>41</v>
      </c>
      <c r="B259" s="57" t="s">
        <v>620</v>
      </c>
      <c r="C259" s="57" t="s">
        <v>43</v>
      </c>
      <c r="D259" s="57" t="s">
        <v>670</v>
      </c>
      <c r="E259" s="58" t="str">
        <f>CONCATENATE(B259,C259,"_",D259)</f>
        <v>s26_grp_agvet_starter_vitamin</v>
      </c>
      <c r="F259" s="57" t="s">
        <v>667</v>
      </c>
      <c r="G259" s="57" t="str">
        <f>CONCATENATE(UPPER(B259),UPPER(C259),": ",F259)</f>
        <v>S26: Thông tin chi tiết về Vitamin</v>
      </c>
      <c r="H259" s="57"/>
      <c r="I259" s="57"/>
      <c r="J259" s="57"/>
      <c r="K259" s="57"/>
      <c r="L259" s="57"/>
      <c r="M259" s="57"/>
      <c r="N259" s="57"/>
      <c r="O259" s="59"/>
      <c r="P259" s="57"/>
      <c r="Q259" s="57"/>
      <c r="R259" s="57"/>
      <c r="S259" s="60"/>
    </row>
    <row r="260" spans="1:19" x14ac:dyDescent="0.2">
      <c r="A260" s="56" t="s">
        <v>633</v>
      </c>
      <c r="B260" s="57" t="s">
        <v>620</v>
      </c>
      <c r="C260" s="57" t="s">
        <v>671</v>
      </c>
      <c r="D260" s="57" t="s">
        <v>635</v>
      </c>
      <c r="E260" s="58" t="str">
        <f t="shared" ref="E260:E265" si="26">CONCATENATE(B260,C260,"_",D260)</f>
        <v>s26q178_purpose</v>
      </c>
      <c r="F260" s="57" t="str">
        <f>CONCATENATE("&lt;span style='color:blue;'&gt;Giai đoạn gà úm&lt;/span&gt;: Ông/bà dùng &lt;span style='color:blue;'&gt;${",E258,"}&lt;/span&gt; cho mục đích gì?")</f>
        <v>&lt;span style='color:blue;'&gt;Giai đoạn gà úm&lt;/span&gt;: Ông/bà dùng &lt;span style='color:blue;'&gt;${s26c2_cur_agvet_starter_vitamin_name}&lt;/span&gt; cho mục đích gì?</v>
      </c>
      <c r="G260" s="57" t="str">
        <f t="shared" ref="G260:G265" si="27">CONCATENATE(UPPER(B260),UPPER(C260),": ",F260)</f>
        <v>S26Q178: &lt;span style='color:blue;'&gt;Giai đoạn gà úm&lt;/span&gt;: Ông/bà dùng &lt;span style='color:blue;'&gt;${s26c2_cur_agvet_starter_vitamin_name}&lt;/span&gt; cho mục đích gì?</v>
      </c>
      <c r="H260" s="57"/>
      <c r="I260" s="57"/>
      <c r="J260" s="57"/>
      <c r="K260" s="57" t="s">
        <v>40</v>
      </c>
      <c r="L260" s="57"/>
      <c r="M260" s="57"/>
      <c r="N260" s="57"/>
      <c r="O260" s="57"/>
      <c r="P260" s="57"/>
      <c r="Q260" s="57"/>
      <c r="R260" s="57"/>
      <c r="S260" s="60"/>
    </row>
    <row r="261" spans="1:19" x14ac:dyDescent="0.2">
      <c r="A261" s="56" t="s">
        <v>636</v>
      </c>
      <c r="B261" s="57" t="s">
        <v>620</v>
      </c>
      <c r="C261" s="57" t="s">
        <v>672</v>
      </c>
      <c r="D261" s="57" t="s">
        <v>638</v>
      </c>
      <c r="E261" s="58" t="str">
        <f t="shared" si="26"/>
        <v>s26q179_use_reason</v>
      </c>
      <c r="F261" s="57" t="str">
        <f>CONCATENATE("&lt;span style='color:blue;'&gt;Giai đoạn gà úm&lt;/span&gt;: Vì sao ông/bà quyết định sử dụng &lt;span style='color:blue;'&gt;${",E258,"}&lt;/span&gt;?")</f>
        <v>&lt;span style='color:blue;'&gt;Giai đoạn gà úm&lt;/span&gt;: Vì sao ông/bà quyết định sử dụng &lt;span style='color:blue;'&gt;${s26c2_cur_agvet_starter_vitamin_name}&lt;/span&gt;?</v>
      </c>
      <c r="G261" s="57" t="str">
        <f t="shared" si="27"/>
        <v>S26Q179: &lt;span style='color:blue;'&gt;Giai đoạn gà úm&lt;/span&gt;: Vì sao ông/bà quyết định sử dụng &lt;span style='color:blue;'&gt;${s26c2_cur_agvet_starter_vitamin_name}&lt;/span&gt;?</v>
      </c>
      <c r="H261" s="57"/>
      <c r="I261" s="57"/>
      <c r="J261" s="57"/>
      <c r="K261" s="57" t="s">
        <v>40</v>
      </c>
      <c r="L261" s="57"/>
      <c r="M261" s="57"/>
      <c r="N261" s="57"/>
      <c r="O261" s="57"/>
      <c r="P261" s="57"/>
      <c r="Q261" s="57"/>
      <c r="R261" s="57"/>
      <c r="S261" s="60"/>
    </row>
    <row r="262" spans="1:19" x14ac:dyDescent="0.2">
      <c r="A262" s="56" t="s">
        <v>639</v>
      </c>
      <c r="B262" s="57" t="s">
        <v>620</v>
      </c>
      <c r="C262" s="57" t="s">
        <v>673</v>
      </c>
      <c r="D262" s="57" t="s">
        <v>641</v>
      </c>
      <c r="E262" s="58" t="str">
        <f t="shared" si="26"/>
        <v>s26q180_source</v>
      </c>
      <c r="F262" s="57" t="str">
        <f>CONCATENATE("&lt;span style='color:blue;'&gt;Giai đoạn gà úm&lt;/span&gt;: Ông/bà mua &lt;span style='color:blue;'&gt;${",E258,"}&lt;/span&gt; ở đâu?")</f>
        <v>&lt;span style='color:blue;'&gt;Giai đoạn gà úm&lt;/span&gt;: Ông/bà mua &lt;span style='color:blue;'&gt;${s26c2_cur_agvet_starter_vitamin_name}&lt;/span&gt; ở đâu?</v>
      </c>
      <c r="G262" s="57" t="str">
        <f t="shared" si="27"/>
        <v>S26Q180: &lt;span style='color:blue;'&gt;Giai đoạn gà úm&lt;/span&gt;: Ông/bà mua &lt;span style='color:blue;'&gt;${s26c2_cur_agvet_starter_vitamin_name}&lt;/span&gt; ở đâu?</v>
      </c>
      <c r="H262" s="57"/>
      <c r="I262" s="57"/>
      <c r="J262" s="57"/>
      <c r="K262" s="57" t="s">
        <v>40</v>
      </c>
      <c r="L262" s="57"/>
      <c r="M262" s="57"/>
      <c r="N262" s="57"/>
      <c r="O262" s="57"/>
      <c r="P262" s="57"/>
      <c r="Q262" s="57"/>
      <c r="R262" s="57"/>
      <c r="S262" s="60"/>
    </row>
    <row r="263" spans="1:19" x14ac:dyDescent="0.2">
      <c r="A263" s="56" t="s">
        <v>645</v>
      </c>
      <c r="B263" s="57" t="s">
        <v>620</v>
      </c>
      <c r="C263" s="57" t="s">
        <v>674</v>
      </c>
      <c r="D263" s="57" t="s">
        <v>647</v>
      </c>
      <c r="E263" s="58" t="str">
        <f t="shared" si="26"/>
        <v>s26q181_who_admin</v>
      </c>
      <c r="F263" s="57" t="str">
        <f>CONCATENATE("&lt;span style='color:blue;'&gt;Giai đoạn gà úm&lt;/span&gt;: Ai là người dùng/trộn/tiêm &lt;span style='color:blue;'&gt;${",E258,"}&lt;/span&gt; cho đàn gà?")</f>
        <v>&lt;span style='color:blue;'&gt;Giai đoạn gà úm&lt;/span&gt;: Ai là người dùng/trộn/tiêm &lt;span style='color:blue;'&gt;${s26c2_cur_agvet_starter_vitamin_name}&lt;/span&gt; cho đàn gà?</v>
      </c>
      <c r="G263" s="57" t="str">
        <f t="shared" si="27"/>
        <v>S26Q181: &lt;span style='color:blue;'&gt;Giai đoạn gà úm&lt;/span&gt;: Ai là người dùng/trộn/tiêm &lt;span style='color:blue;'&gt;${s26c2_cur_agvet_starter_vitamin_name}&lt;/span&gt; cho đàn gà?</v>
      </c>
      <c r="H263" s="57"/>
      <c r="I263" s="57"/>
      <c r="J263" s="57"/>
      <c r="K263" s="57" t="s">
        <v>40</v>
      </c>
      <c r="L263" s="57"/>
      <c r="M263" s="57"/>
      <c r="N263" s="57"/>
      <c r="O263" s="57"/>
      <c r="P263" s="57"/>
      <c r="Q263" s="57"/>
      <c r="R263" s="57"/>
      <c r="S263" s="60"/>
    </row>
    <row r="264" spans="1:19" x14ac:dyDescent="0.2">
      <c r="A264" s="56" t="s">
        <v>648</v>
      </c>
      <c r="B264" s="57" t="s">
        <v>620</v>
      </c>
      <c r="C264" s="57" t="s">
        <v>675</v>
      </c>
      <c r="D264" s="57" t="s">
        <v>650</v>
      </c>
      <c r="E264" s="58" t="str">
        <f t="shared" si="26"/>
        <v>s26q182_how_knowhow</v>
      </c>
      <c r="F264" s="57" t="str">
        <f>CONCATENATE("&lt;span style='color:blue;'&gt;Giai đoạn gà úm&lt;/span&gt;: Làm thế nào ông/bà hay họ biết cách sử dụng &lt;span style='color:blue;'&gt;${",E258,"}&lt;/span&gt;?")</f>
        <v>&lt;span style='color:blue;'&gt;Giai đoạn gà úm&lt;/span&gt;: Làm thế nào ông/bà hay họ biết cách sử dụng &lt;span style='color:blue;'&gt;${s26c2_cur_agvet_starter_vitamin_name}&lt;/span&gt;?</v>
      </c>
      <c r="G264" s="57" t="str">
        <f t="shared" si="27"/>
        <v>S26Q182: &lt;span style='color:blue;'&gt;Giai đoạn gà úm&lt;/span&gt;: Làm thế nào ông/bà hay họ biết cách sử dụng &lt;span style='color:blue;'&gt;${s26c2_cur_agvet_starter_vitamin_name}&lt;/span&gt;?</v>
      </c>
      <c r="H264" s="57"/>
      <c r="I264" s="57"/>
      <c r="J264" s="57"/>
      <c r="K264" s="57" t="s">
        <v>40</v>
      </c>
      <c r="L264" s="57"/>
      <c r="M264" s="57" t="str">
        <f>CONCATENATE("selected(${",E263,"},'myself') or selected(${",E263,"},'farm_worker') or selected(${",E263,"},'friends')")</f>
        <v>selected(${s26q181_who_admin},'myself') or selected(${s26q181_who_admin},'farm_worker') or selected(${s26q181_who_admin},'friends')</v>
      </c>
      <c r="N264" s="57"/>
      <c r="O264" s="57"/>
      <c r="P264" s="57"/>
      <c r="Q264" s="57"/>
      <c r="R264" s="57"/>
      <c r="S264" s="60"/>
    </row>
    <row r="265" spans="1:19" x14ac:dyDescent="0.2">
      <c r="A265" s="56" t="s">
        <v>88</v>
      </c>
      <c r="B265" s="57" t="s">
        <v>620</v>
      </c>
      <c r="C265" s="57" t="s">
        <v>676</v>
      </c>
      <c r="D265" s="57" t="s">
        <v>652</v>
      </c>
      <c r="E265" s="58" t="str">
        <f t="shared" si="26"/>
        <v>s26q183_no_occassions</v>
      </c>
      <c r="F265" s="80" t="str">
        <f>CONCATENATE("&lt;span style='color:blue;'&gt;Giai đoạn gà úm&lt;/span&gt;: Ông/bà đã dùng &lt;span style='color:blue;'&gt;${",E258,"}&lt;/span&gt; cho đàn gà của mình bao nhiêu lần trong lứa đó ?")</f>
        <v>&lt;span style='color:blue;'&gt;Giai đoạn gà úm&lt;/span&gt;: Ông/bà đã dùng &lt;span style='color:blue;'&gt;${s26c2_cur_agvet_starter_vitamin_name}&lt;/span&gt; cho đàn gà của mình bao nhiêu lần trong lứa đó ?</v>
      </c>
      <c r="G265" s="57" t="str">
        <f t="shared" si="27"/>
        <v>S26Q183: &lt;span style='color:blue;'&gt;Giai đoạn gà úm&lt;/span&gt;: Ông/bà đã dùng &lt;span style='color:blue;'&gt;${s26c2_cur_agvet_starter_vitamin_name}&lt;/span&gt; cho đàn gà của mình bao nhiêu lần trong lứa đó ?</v>
      </c>
      <c r="H265" s="57"/>
      <c r="I265" s="57" t="s">
        <v>184</v>
      </c>
      <c r="J265" s="57"/>
      <c r="K265" s="57" t="s">
        <v>40</v>
      </c>
      <c r="L265" s="57"/>
      <c r="M265" s="57"/>
      <c r="N265" s="57"/>
      <c r="O265" s="57"/>
      <c r="P265" s="57"/>
      <c r="Q265" s="57"/>
      <c r="R265" s="57"/>
      <c r="S265" s="60"/>
    </row>
    <row r="266" spans="1:19" x14ac:dyDescent="0.2">
      <c r="A266" s="62" t="s">
        <v>74</v>
      </c>
      <c r="C266" s="4" t="s">
        <v>43</v>
      </c>
      <c r="S266" s="63"/>
    </row>
    <row r="267" spans="1:19" x14ac:dyDescent="0.2">
      <c r="A267" s="56" t="s">
        <v>123</v>
      </c>
      <c r="B267" s="57" t="s">
        <v>620</v>
      </c>
      <c r="C267" s="57" t="s">
        <v>43</v>
      </c>
      <c r="D267" s="57" t="s">
        <v>677</v>
      </c>
      <c r="E267" s="58" t="str">
        <f>CONCATENATE(B267,C267,"_",D267)</f>
        <v>s26_rpt_agvet_starter_vit_occ</v>
      </c>
      <c r="F267" s="57" t="s">
        <v>2613</v>
      </c>
      <c r="G267" s="57" t="str">
        <f>CONCATENATE(UPPER(B267),UPPER(C267),": ",F267)</f>
        <v>S26: Chi tiết các lần dùng Vitamin</v>
      </c>
      <c r="H267" s="57"/>
      <c r="I267" s="57"/>
      <c r="J267" s="57"/>
      <c r="K267" s="57"/>
      <c r="L267" s="57"/>
      <c r="M267" s="57"/>
      <c r="N267" s="57"/>
      <c r="O267" s="57" t="str">
        <f>CONCATENATE("${",E265,"}")</f>
        <v>${s26q183_no_occassions}</v>
      </c>
      <c r="P267" s="57"/>
      <c r="Q267" s="57"/>
      <c r="R267" s="57"/>
      <c r="S267" s="60"/>
    </row>
    <row r="268" spans="1:19" x14ac:dyDescent="0.2">
      <c r="A268" s="71" t="s">
        <v>127</v>
      </c>
      <c r="B268" s="72" t="s">
        <v>655</v>
      </c>
      <c r="C268" s="72" t="s">
        <v>128</v>
      </c>
      <c r="D268" s="57" t="s">
        <v>678</v>
      </c>
      <c r="E268" s="73" t="str">
        <f>CONCATENATE(B268,C268,"_",D268)</f>
        <v>s36c1_cur_rpt_agvet_starter_vitamin_name</v>
      </c>
      <c r="F268" s="72"/>
      <c r="G268" s="72"/>
      <c r="H268" s="72"/>
      <c r="I268" s="72"/>
      <c r="J268" s="72"/>
      <c r="K268" s="72"/>
      <c r="L268" s="72"/>
      <c r="M268" s="72"/>
      <c r="N268" s="72"/>
      <c r="O268" s="72"/>
      <c r="P268" s="72" t="str">
        <f>CONCATENATE("${",E258,"}")</f>
        <v>${s26c2_cur_agvet_starter_vitamin_name}</v>
      </c>
      <c r="Q268" s="72"/>
      <c r="R268" s="72"/>
      <c r="S268" s="75"/>
    </row>
    <row r="269" spans="1:19" x14ac:dyDescent="0.2">
      <c r="A269" s="56" t="s">
        <v>127</v>
      </c>
      <c r="B269" s="57" t="s">
        <v>620</v>
      </c>
      <c r="C269" s="57" t="s">
        <v>128</v>
      </c>
      <c r="D269" s="57" t="s">
        <v>679</v>
      </c>
      <c r="E269" s="58" t="str">
        <f>CONCATENATE(B269,C269,"_",D269)</f>
        <v>s26c1_cur_agvet_starter_vit_occassion</v>
      </c>
      <c r="F269" s="57"/>
      <c r="G269" s="57"/>
      <c r="H269" s="57"/>
      <c r="I269" s="57"/>
      <c r="J269" s="57"/>
      <c r="K269" s="57"/>
      <c r="L269" s="57"/>
      <c r="M269" s="57"/>
      <c r="N269" s="57"/>
      <c r="O269" s="57"/>
      <c r="P269" s="57" t="s">
        <v>658</v>
      </c>
      <c r="Q269" s="57"/>
      <c r="R269" s="57"/>
      <c r="S269" s="60"/>
    </row>
    <row r="270" spans="1:19" x14ac:dyDescent="0.2">
      <c r="A270" s="56" t="s">
        <v>88</v>
      </c>
      <c r="B270" s="57" t="s">
        <v>620</v>
      </c>
      <c r="C270" s="57" t="s">
        <v>680</v>
      </c>
      <c r="D270" s="57" t="s">
        <v>660</v>
      </c>
      <c r="E270" s="58" t="str">
        <f>CONCATENATE(B270,C270,"_",D270)</f>
        <v>s26q184_birds_age</v>
      </c>
      <c r="F270" s="57" t="str">
        <f>CONCATENATE("Ông/bà dùng &lt;span style='color:blue;'&gt;${",E268,"}&lt;/span&gt; the &lt;span style='color:blue;'&gt;${",E269,"}&lt;/span&gt; cho đàn gà của mình vào giai đoạn tuổi nào? (Lưu ý: tính theo tuần tuổi)")</f>
        <v>Ông/bà dùng &lt;span style='color:blue;'&gt;${s36c1_cur_rpt_agvet_starter_vitamin_name}&lt;/span&gt; the &lt;span style='color:blue;'&gt;${s26c1_cur_agvet_starter_vit_occassion}&lt;/span&gt; cho đàn gà của mình vào giai đoạn tuổi nào? (Lưu ý: tính theo tuần tuổi)</v>
      </c>
      <c r="G270" s="57" t="str">
        <f>CONCATENATE(UPPER(B270),UPPER(C270),": ",F270)</f>
        <v>S26Q184: Ông/bà dùng &lt;span style='color:blue;'&gt;${s36c1_cur_rpt_agvet_starter_vitamin_name}&lt;/span&gt; the &lt;span style='color:blue;'&gt;${s26c1_cur_agvet_starter_vit_occassion}&lt;/span&gt; cho đàn gà của mình vào giai đoạn tuổi nào? (Lưu ý: tính theo tuần tuổi)</v>
      </c>
      <c r="H270" s="57" t="s">
        <v>2420</v>
      </c>
      <c r="I270" s="57" t="s">
        <v>106</v>
      </c>
      <c r="J270" s="57"/>
      <c r="K270" s="57" t="s">
        <v>40</v>
      </c>
      <c r="L270" s="57"/>
      <c r="M270" s="57"/>
      <c r="N270" s="57"/>
      <c r="O270" s="57"/>
      <c r="P270" s="57"/>
      <c r="Q270" s="57"/>
      <c r="R270" s="57"/>
      <c r="S270" s="60"/>
    </row>
    <row r="271" spans="1:19" x14ac:dyDescent="0.2">
      <c r="A271" s="56" t="s">
        <v>88</v>
      </c>
      <c r="B271" s="57" t="s">
        <v>620</v>
      </c>
      <c r="C271" s="57" t="s">
        <v>681</v>
      </c>
      <c r="D271" s="57" t="s">
        <v>598</v>
      </c>
      <c r="E271" s="58" t="str">
        <f>CONCATENATE(B271,C271,"_",D271)</f>
        <v>s26q185_cost</v>
      </c>
      <c r="F271" s="57" t="str">
        <f>CONCATENATE("Chi phí cho &lt;span style='color:blue;'&gt;${",E268,"}&lt;/span&gt; ở lần &lt;span style='color:blue;'&gt;${",E269,"}&lt;/span&gt; là khoảng bao nhiêu? (Lưu ý: tính bằng nghìn VNĐ)")</f>
        <v>Chi phí cho &lt;span style='color:blue;'&gt;${s36c1_cur_rpt_agvet_starter_vitamin_name}&lt;/span&gt; ở lần &lt;span style='color:blue;'&gt;${s26c1_cur_agvet_starter_vit_occassion}&lt;/span&gt; là khoảng bao nhiêu? (Lưu ý: tính bằng nghìn VNĐ)</v>
      </c>
      <c r="G271" s="57" t="str">
        <f>CONCATENATE(UPPER(B271),UPPER(C271),": ",F271)</f>
        <v>S26Q185: Chi phí cho &lt;span style='color:blue;'&gt;${s36c1_cur_rpt_agvet_starter_vitamin_name}&lt;/span&gt; ở lần &lt;span style='color:blue;'&gt;${s26c1_cur_agvet_starter_vit_occassion}&lt;/span&gt; là khoảng bao nhiêu? (Lưu ý: tính bằng nghìn VNĐ)</v>
      </c>
      <c r="H271" s="57" t="s">
        <v>2421</v>
      </c>
      <c r="I271" s="57" t="s">
        <v>106</v>
      </c>
      <c r="J271" s="57"/>
      <c r="K271" s="57" t="s">
        <v>40</v>
      </c>
      <c r="L271" s="57"/>
      <c r="M271" s="57"/>
      <c r="N271" s="57"/>
      <c r="O271" s="57"/>
      <c r="P271" s="57"/>
      <c r="Q271" s="57"/>
      <c r="R271" s="57"/>
      <c r="S271" s="60"/>
    </row>
    <row r="272" spans="1:19" x14ac:dyDescent="0.2">
      <c r="A272" s="62" t="s">
        <v>147</v>
      </c>
      <c r="C272" s="4" t="s">
        <v>43</v>
      </c>
      <c r="S272" s="63"/>
    </row>
    <row r="273" spans="1:19" ht="12.75" thickBot="1" x14ac:dyDescent="0.25">
      <c r="A273" s="64" t="s">
        <v>147</v>
      </c>
      <c r="B273" s="65"/>
      <c r="C273" s="65" t="s">
        <v>43</v>
      </c>
      <c r="D273" s="65"/>
      <c r="E273" s="65"/>
      <c r="F273" s="65"/>
      <c r="G273" s="65"/>
      <c r="H273" s="65"/>
      <c r="I273" s="65"/>
      <c r="J273" s="65"/>
      <c r="K273" s="65"/>
      <c r="L273" s="65"/>
      <c r="M273" s="65"/>
      <c r="N273" s="65"/>
      <c r="O273" s="65"/>
      <c r="P273" s="65"/>
      <c r="Q273" s="65"/>
      <c r="R273" s="65"/>
      <c r="S273" s="66"/>
    </row>
    <row r="274" spans="1:19" x14ac:dyDescent="0.2">
      <c r="A274" s="8" t="s">
        <v>41</v>
      </c>
      <c r="B274" s="8" t="s">
        <v>682</v>
      </c>
      <c r="C274" s="8" t="s">
        <v>43</v>
      </c>
      <c r="D274" s="8" t="s">
        <v>683</v>
      </c>
      <c r="E274" s="9" t="str">
        <f t="shared" ref="E274:E279" si="28">CONCATENATE(B274,C274,"_",D274)</f>
        <v>s27_grp_finisher</v>
      </c>
      <c r="F274" s="8" t="s">
        <v>2416</v>
      </c>
      <c r="G274" s="8" t="str">
        <f t="shared" ref="G274:G279" si="29">CONCATENATE(UPPER(B274),UPPER(C274),": ",F274)</f>
        <v>S27: Vật tư thú y chăn nuôi-Gà giai đoạn gà giò/giai đoạn sau - Finisher</v>
      </c>
      <c r="H274" s="8"/>
      <c r="I274" s="8"/>
      <c r="J274" s="8"/>
      <c r="K274" s="8"/>
      <c r="L274" s="8"/>
      <c r="M274" s="8" t="str">
        <f>CONCATENATE("selected(${",E225,"},'agrovet_made')")</f>
        <v>selected(${s25q158_feed_type},'agrovet_made')</v>
      </c>
      <c r="N274" s="8"/>
      <c r="O274" s="8"/>
      <c r="P274" s="8"/>
      <c r="Q274" s="8"/>
      <c r="R274" s="8"/>
      <c r="S274" s="8"/>
    </row>
    <row r="275" spans="1:19" x14ac:dyDescent="0.2">
      <c r="A275" s="8" t="s">
        <v>88</v>
      </c>
      <c r="B275" s="8" t="s">
        <v>682</v>
      </c>
      <c r="C275" s="8" t="s">
        <v>684</v>
      </c>
      <c r="D275" s="8" t="s">
        <v>685</v>
      </c>
      <c r="E275" s="9" t="str">
        <f t="shared" si="28"/>
        <v>s27q186_agvet_no_finisher</v>
      </c>
      <c r="F275" s="8" t="str">
        <f>CONCATENATE("&lt;span style='color:blue;'&gt;Giai đoạn gà giò&lt;/span&gt;: Ông/bà sử dụng bao nhiêu bao thức ăn loại giai đoạn gà giò cho lứa gà gần đây nhất (tính theo bao nguyên)?")</f>
        <v>&lt;span style='color:blue;'&gt;Giai đoạn gà giò&lt;/span&gt;: Ông/bà sử dụng bao nhiêu bao thức ăn loại giai đoạn gà giò cho lứa gà gần đây nhất (tính theo bao nguyên)?</v>
      </c>
      <c r="G275" s="8" t="str">
        <f t="shared" si="29"/>
        <v>S27Q186: &lt;span style='color:blue;'&gt;Giai đoạn gà giò&lt;/span&gt;: Ông/bà sử dụng bao nhiêu bao thức ăn loại giai đoạn gà giò cho lứa gà gần đây nhất (tính theo bao nguyên)?</v>
      </c>
      <c r="H275" s="8"/>
      <c r="I275" s="8" t="s">
        <v>106</v>
      </c>
      <c r="J275" s="8"/>
      <c r="K275" s="8" t="s">
        <v>40</v>
      </c>
      <c r="L275" s="8"/>
      <c r="M275" s="8"/>
      <c r="N275" s="8"/>
      <c r="O275" s="8"/>
      <c r="P275" s="8"/>
      <c r="Q275" s="8"/>
      <c r="R275" s="8"/>
      <c r="S275" s="8"/>
    </row>
    <row r="276" spans="1:19" x14ac:dyDescent="0.2">
      <c r="A276" s="8" t="s">
        <v>88</v>
      </c>
      <c r="B276" s="8" t="s">
        <v>682</v>
      </c>
      <c r="C276" s="8" t="s">
        <v>686</v>
      </c>
      <c r="D276" s="8" t="s">
        <v>687</v>
      </c>
      <c r="E276" s="9" t="str">
        <f t="shared" si="28"/>
        <v>s27q187_agvet_finisher_weight</v>
      </c>
      <c r="F276" s="8" t="str">
        <f>CONCATENATE("&lt;span style='color:blue;'&gt;Giai đoạn gà giò&lt;/span&gt;: Mỗi bao đó là bao nhiêu kilogram?")</f>
        <v>&lt;span style='color:blue;'&gt;Giai đoạn gà giò&lt;/span&gt;: Mỗi bao đó là bao nhiêu kilogram?</v>
      </c>
      <c r="G276" s="8" t="str">
        <f t="shared" si="29"/>
        <v>S27Q187: &lt;span style='color:blue;'&gt;Giai đoạn gà giò&lt;/span&gt;: Mỗi bao đó là bao nhiêu kilogram?</v>
      </c>
      <c r="H276" s="8" t="s">
        <v>2769</v>
      </c>
      <c r="I276" s="8" t="s">
        <v>106</v>
      </c>
      <c r="J276" s="8"/>
      <c r="K276" s="8" t="s">
        <v>40</v>
      </c>
      <c r="L276" s="8"/>
      <c r="M276" s="8"/>
      <c r="N276" s="8"/>
      <c r="O276" s="8"/>
      <c r="P276" s="8"/>
      <c r="Q276" s="8"/>
      <c r="R276" s="8"/>
      <c r="S276" s="8"/>
    </row>
    <row r="277" spans="1:19" x14ac:dyDescent="0.2">
      <c r="A277" s="8" t="s">
        <v>88</v>
      </c>
      <c r="B277" s="8" t="s">
        <v>682</v>
      </c>
      <c r="C277" s="8" t="s">
        <v>688</v>
      </c>
      <c r="D277" s="8" t="s">
        <v>689</v>
      </c>
      <c r="E277" s="9" t="str">
        <f t="shared" si="28"/>
        <v>s27q188_agvet_finisher_cost</v>
      </c>
      <c r="F277" s="8" t="str">
        <f>CONCATENATE("&lt;span style='color:blue;'&gt;Giai đoạn gà giò&lt;/span&gt;: Giá một bao đó là bao nhiêu tiền (nghìn VND)?")</f>
        <v>&lt;span style='color:blue;'&gt;Giai đoạn gà giò&lt;/span&gt;: Giá một bao đó là bao nhiêu tiền (nghìn VND)?</v>
      </c>
      <c r="G277" s="8" t="str">
        <f t="shared" si="29"/>
        <v>S27Q188: &lt;span style='color:blue;'&gt;Giai đoạn gà giò&lt;/span&gt;: Giá một bao đó là bao nhiêu tiền (nghìn VND)?</v>
      </c>
      <c r="H277" s="8"/>
      <c r="I277" s="8" t="s">
        <v>106</v>
      </c>
      <c r="J277" s="8"/>
      <c r="K277" s="8" t="s">
        <v>40</v>
      </c>
      <c r="L277" s="8"/>
      <c r="M277" s="8"/>
      <c r="N277" s="8"/>
      <c r="O277" s="8"/>
      <c r="P277" s="8"/>
      <c r="Q277" s="8"/>
      <c r="R277" s="8"/>
      <c r="S277" s="8"/>
    </row>
    <row r="278" spans="1:19" x14ac:dyDescent="0.2">
      <c r="A278" s="8" t="s">
        <v>612</v>
      </c>
      <c r="B278" s="8" t="s">
        <v>682</v>
      </c>
      <c r="C278" s="8" t="s">
        <v>690</v>
      </c>
      <c r="D278" s="8" t="s">
        <v>691</v>
      </c>
      <c r="E278" s="9" t="str">
        <f t="shared" si="28"/>
        <v>s27q189_agvet_finisher_reason</v>
      </c>
      <c r="F278" s="8" t="str">
        <f>CONCATENATE("&lt;span style='color:blue;'&gt;Giai đoạn gà giò&lt;/span&gt;: Tại sao ông/bà chọn sử dụng loại thức ăn này?")</f>
        <v>&lt;span style='color:blue;'&gt;Giai đoạn gà giò&lt;/span&gt;: Tại sao ông/bà chọn sử dụng loại thức ăn này?</v>
      </c>
      <c r="G278" s="8" t="str">
        <f t="shared" si="29"/>
        <v>S27Q189: &lt;span style='color:blue;'&gt;Giai đoạn gà giò&lt;/span&gt;: Tại sao ông/bà chọn sử dụng loại thức ăn này?</v>
      </c>
      <c r="H278" s="8"/>
      <c r="I278" s="8"/>
      <c r="J278" s="8"/>
      <c r="K278" s="8" t="s">
        <v>40</v>
      </c>
      <c r="L278" s="8"/>
      <c r="M278" s="8"/>
      <c r="N278" s="8"/>
      <c r="O278" s="8"/>
      <c r="P278" s="8"/>
      <c r="Q278" s="8"/>
      <c r="R278" s="8"/>
      <c r="S278" s="8"/>
    </row>
    <row r="279" spans="1:19" x14ac:dyDescent="0.2">
      <c r="A279" s="8" t="s">
        <v>616</v>
      </c>
      <c r="B279" s="8" t="s">
        <v>682</v>
      </c>
      <c r="C279" s="8" t="s">
        <v>692</v>
      </c>
      <c r="D279" s="8" t="s">
        <v>693</v>
      </c>
      <c r="E279" s="9" t="str">
        <f t="shared" si="28"/>
        <v>s27q190_agvet_finisher_addons</v>
      </c>
      <c r="F279" s="8" t="str">
        <f>CONCATENATE("&lt;span style='color:blue;'&gt;Giai đoạn gà giò&lt;/span&gt;: Ông/bà có trộn bổ sung thành phần nào khác vào thức ăn không?")</f>
        <v>&lt;span style='color:blue;'&gt;Giai đoạn gà giò&lt;/span&gt;: Ông/bà có trộn bổ sung thành phần nào khác vào thức ăn không?</v>
      </c>
      <c r="G279" s="8" t="str">
        <f t="shared" si="29"/>
        <v>S27Q190: &lt;span style='color:blue;'&gt;Giai đoạn gà giò&lt;/span&gt;: Ông/bà có trộn bổ sung thành phần nào khác vào thức ăn không?</v>
      </c>
      <c r="H279" s="8"/>
      <c r="I279" s="8" t="s">
        <v>382</v>
      </c>
      <c r="J279" s="8" t="s">
        <v>383</v>
      </c>
      <c r="K279" s="8" t="s">
        <v>40</v>
      </c>
      <c r="L279" s="8"/>
      <c r="M279" s="8"/>
      <c r="N279" s="8"/>
      <c r="O279" s="8"/>
      <c r="P279" s="8"/>
      <c r="Q279" s="8"/>
      <c r="R279" s="8"/>
      <c r="S279" s="8"/>
    </row>
    <row r="280" spans="1:19" ht="12.75" thickBot="1" x14ac:dyDescent="0.25">
      <c r="A280" s="4" t="s">
        <v>74</v>
      </c>
      <c r="C280" s="4" t="s">
        <v>43</v>
      </c>
    </row>
    <row r="281" spans="1:19" x14ac:dyDescent="0.2">
      <c r="A281" s="67" t="s">
        <v>619</v>
      </c>
      <c r="B281" s="68" t="s">
        <v>682</v>
      </c>
      <c r="C281" s="68" t="s">
        <v>694</v>
      </c>
      <c r="D281" s="68" t="s">
        <v>695</v>
      </c>
      <c r="E281" s="69" t="str">
        <f t="shared" ref="E281:E287" si="30">CONCATENATE(B281,C281,"_",D281)</f>
        <v>s27q191_agvet_finisher_abs</v>
      </c>
      <c r="F281" s="68" t="s">
        <v>623</v>
      </c>
      <c r="G281" s="68" t="str">
        <f>CONCATENATE(UPPER(B281),UPPER(C281),": ",F281)</f>
        <v>S27Q191: Ông/bà trộn loại kháng sinh gì?</v>
      </c>
      <c r="H281" s="68"/>
      <c r="I281" s="68"/>
      <c r="J281" s="68"/>
      <c r="K281" s="68" t="s">
        <v>40</v>
      </c>
      <c r="L281" s="68" t="s">
        <v>624</v>
      </c>
      <c r="M281" s="68" t="str">
        <f>CONCATENATE("selected(${",E279,"},'antibiotic')")</f>
        <v>selected(${s27q190_agvet_finisher_addons},'antibiotic')</v>
      </c>
      <c r="N281" s="68"/>
      <c r="O281" s="68"/>
      <c r="P281" s="68"/>
      <c r="Q281" s="68"/>
      <c r="R281" s="68"/>
      <c r="S281" s="70"/>
    </row>
    <row r="282" spans="1:19" x14ac:dyDescent="0.2">
      <c r="A282" s="71" t="s">
        <v>123</v>
      </c>
      <c r="B282" s="72" t="s">
        <v>682</v>
      </c>
      <c r="C282" s="72" t="s">
        <v>43</v>
      </c>
      <c r="D282" s="72" t="s">
        <v>696</v>
      </c>
      <c r="E282" s="73" t="str">
        <f t="shared" si="30"/>
        <v>s27_rpt_agvet_finisher_abs</v>
      </c>
      <c r="F282" s="72" t="s">
        <v>2413</v>
      </c>
      <c r="G282" s="72" t="str">
        <f>CONCATENATE(UPPER(B282),UPPER(C282),": ",F282)</f>
        <v>S27: Thông tin chi tiết về thuốc kháng sinh</v>
      </c>
      <c r="H282" s="72"/>
      <c r="I282" s="72"/>
      <c r="J282" s="72"/>
      <c r="K282" s="72"/>
      <c r="L282" s="72"/>
      <c r="M282" s="72" t="str">
        <f>CONCATENATE("selected(${",E279,"},'antibiotic')")</f>
        <v>selected(${s27q190_agvet_finisher_addons},'antibiotic')</v>
      </c>
      <c r="N282" s="72"/>
      <c r="O282" s="74" t="str">
        <f>CONCATENATE("count-selected(${",E281,"})")</f>
        <v>count-selected(${s27q191_agvet_finisher_abs})</v>
      </c>
      <c r="P282" s="72"/>
      <c r="Q282" s="72"/>
      <c r="R282" s="72"/>
      <c r="S282" s="75"/>
    </row>
    <row r="283" spans="1:19" x14ac:dyDescent="0.2">
      <c r="A283" s="71" t="s">
        <v>127</v>
      </c>
      <c r="B283" s="72" t="s">
        <v>682</v>
      </c>
      <c r="C283" s="72" t="s">
        <v>128</v>
      </c>
      <c r="D283" s="72" t="s">
        <v>698</v>
      </c>
      <c r="E283" s="73" t="str">
        <f t="shared" si="30"/>
        <v>s27c1_cur_agvet_finisher_ab</v>
      </c>
      <c r="F283" s="72"/>
      <c r="G283" s="72"/>
      <c r="H283" s="72"/>
      <c r="I283" s="72"/>
      <c r="J283" s="72"/>
      <c r="K283" s="72"/>
      <c r="L283" s="72"/>
      <c r="M283" s="72"/>
      <c r="N283" s="72"/>
      <c r="O283" s="72"/>
      <c r="P283" s="76" t="str">
        <f>CONCATENATE("selected-at(${",E281,"}, position(..)-1)")</f>
        <v>selected-at(${s27q191_agvet_finisher_abs}, position(..)-1)</v>
      </c>
      <c r="Q283" s="72"/>
      <c r="R283" s="72"/>
      <c r="S283" s="75"/>
    </row>
    <row r="284" spans="1:19" x14ac:dyDescent="0.2">
      <c r="A284" s="71" t="s">
        <v>127</v>
      </c>
      <c r="B284" s="72" t="s">
        <v>682</v>
      </c>
      <c r="C284" s="72" t="s">
        <v>130</v>
      </c>
      <c r="D284" s="72" t="s">
        <v>699</v>
      </c>
      <c r="E284" s="73" t="str">
        <f t="shared" si="30"/>
        <v>s27c2_cur_agvet_finisher_ab_name</v>
      </c>
      <c r="F284" s="72"/>
      <c r="G284" s="72"/>
      <c r="H284" s="72"/>
      <c r="I284" s="72"/>
      <c r="J284" s="72"/>
      <c r="K284" s="72"/>
      <c r="L284" s="72"/>
      <c r="M284" s="72"/>
      <c r="N284" s="72"/>
      <c r="O284" s="72"/>
      <c r="P284" s="76" t="str">
        <f>CONCATENATE("if(string-length(../",E283,") != 0,jr:choice-name(${",E283,"},'${",E281,"}'),'unknown')")</f>
        <v>if(string-length(../s27c1_cur_agvet_finisher_ab) != 0,jr:choice-name(${s27c1_cur_agvet_finisher_ab},'${s27q191_agvet_finisher_abs}'),'unknown')</v>
      </c>
      <c r="Q284" s="72"/>
      <c r="R284" s="72"/>
      <c r="S284" s="75"/>
    </row>
    <row r="285" spans="1:19" x14ac:dyDescent="0.2">
      <c r="A285" s="71" t="s">
        <v>41</v>
      </c>
      <c r="B285" s="72" t="s">
        <v>682</v>
      </c>
      <c r="C285" s="72" t="s">
        <v>43</v>
      </c>
      <c r="D285" s="72" t="s">
        <v>700</v>
      </c>
      <c r="E285" s="73" t="str">
        <f t="shared" si="30"/>
        <v>s27_grp_agvet_finisher_abs</v>
      </c>
      <c r="F285" s="72" t="s">
        <v>2413</v>
      </c>
      <c r="G285" s="72" t="str">
        <f>CONCATENATE(UPPER(B285),UPPER(C285),": ",F285)</f>
        <v>S27: Thông tin chi tiết về thuốc kháng sinh</v>
      </c>
      <c r="H285" s="72"/>
      <c r="I285" s="72"/>
      <c r="J285" s="72"/>
      <c r="K285" s="72"/>
      <c r="L285" s="72"/>
      <c r="M285" s="72"/>
      <c r="N285" s="72"/>
      <c r="O285" s="74"/>
      <c r="P285" s="72"/>
      <c r="Q285" s="72"/>
      <c r="R285" s="72"/>
      <c r="S285" s="75"/>
    </row>
    <row r="286" spans="1:19" x14ac:dyDescent="0.2">
      <c r="A286" s="72" t="s">
        <v>628</v>
      </c>
      <c r="B286" s="72" t="s">
        <v>682</v>
      </c>
      <c r="C286" s="72" t="s">
        <v>701</v>
      </c>
      <c r="D286" s="72" t="s">
        <v>630</v>
      </c>
      <c r="E286" s="73" t="str">
        <f t="shared" si="30"/>
        <v>s27q192_how_ab_combined</v>
      </c>
      <c r="F286" s="72" t="str">
        <f>CONCATENATE("Loại kháng sinh &lt;span style='color:blue;'&gt;${",E284,"}&lt;/span&gt; là ở dạng đơn hay ở dạng hỗn hợp với các loại kháng sinh khác?")</f>
        <v>Loại kháng sinh &lt;span style='color:blue;'&gt;${s27c2_cur_agvet_finisher_ab_name}&lt;/span&gt; là ở dạng đơn hay ở dạng hỗn hợp với các loại kháng sinh khác?</v>
      </c>
      <c r="G286" s="72" t="str">
        <f>CONCATENATE(UPPER(B286),UPPER(C286),": ",F286)</f>
        <v>S27Q192: Loại kháng sinh &lt;span style='color:blue;'&gt;${s27c2_cur_agvet_finisher_ab_name}&lt;/span&gt; là ở dạng đơn hay ở dạng hỗn hợp với các loại kháng sinh khác?</v>
      </c>
      <c r="H286" s="72"/>
      <c r="I286" s="72"/>
      <c r="J286" s="72"/>
      <c r="K286" s="72" t="s">
        <v>40</v>
      </c>
      <c r="L286" s="72" t="s">
        <v>50</v>
      </c>
      <c r="M286" s="72"/>
      <c r="N286" s="72"/>
      <c r="O286" s="72"/>
      <c r="P286" s="72"/>
      <c r="Q286" s="72"/>
      <c r="R286" s="72"/>
      <c r="S286" s="72"/>
    </row>
    <row r="287" spans="1:19" x14ac:dyDescent="0.2">
      <c r="A287" s="72" t="s">
        <v>619</v>
      </c>
      <c r="B287" s="72" t="s">
        <v>682</v>
      </c>
      <c r="C287" s="72" t="s">
        <v>702</v>
      </c>
      <c r="D287" s="72" t="s">
        <v>632</v>
      </c>
      <c r="E287" s="73" t="str">
        <f t="shared" si="30"/>
        <v>s27q193_ab_combined</v>
      </c>
      <c r="F287" s="72" t="str">
        <f>CONCATENATE("Chọn loại kháng sinh phối/hỗn hợp cùng với &lt;span style='color:blue;'&gt;${",E284,"}&lt;/span&gt;")</f>
        <v>Chọn loại kháng sinh phối/hỗn hợp cùng với &lt;span style='color:blue;'&gt;${s27c2_cur_agvet_finisher_ab_name}&lt;/span&gt;</v>
      </c>
      <c r="G287" s="72" t="str">
        <f>CONCATENATE(UPPER(B287),UPPER(C287),": ",F287)</f>
        <v>S27Q193: Chọn loại kháng sinh phối/hỗn hợp cùng với &lt;span style='color:blue;'&gt;${s27c2_cur_agvet_finisher_ab_name}&lt;/span&gt;</v>
      </c>
      <c r="H287" s="72"/>
      <c r="I287" s="72"/>
      <c r="J287" s="72"/>
      <c r="K287" s="72" t="s">
        <v>40</v>
      </c>
      <c r="L287" s="72"/>
      <c r="M287" s="72" t="str">
        <f>CONCATENATE("selected(${",E286,"},'combined')")</f>
        <v>selected(${s27q192_how_ab_combined},'combined')</v>
      </c>
      <c r="N287" s="72"/>
      <c r="O287" s="72"/>
      <c r="P287" s="72"/>
      <c r="Q287" s="72"/>
      <c r="R287" s="72"/>
      <c r="S287" s="72"/>
    </row>
    <row r="288" spans="1:19" x14ac:dyDescent="0.2">
      <c r="A288" s="71" t="s">
        <v>633</v>
      </c>
      <c r="B288" s="72" t="s">
        <v>682</v>
      </c>
      <c r="C288" s="72" t="s">
        <v>703</v>
      </c>
      <c r="D288" s="72" t="s">
        <v>635</v>
      </c>
      <c r="E288" s="73" t="str">
        <f t="shared" ref="E288:E293" si="31">CONCATENATE(B288,C288,"_",D288)</f>
        <v>s27q194_purpose</v>
      </c>
      <c r="F288" s="72" t="str">
        <f>CONCATENATE("&lt;span style='color:blue;'&gt;Giai đoạn gà giò&lt;/span&gt;: Ông/bà dùng  &lt;span style='color:blue;'&gt;${",E284,"}&lt;/span&gt; cho mục đích gì?")</f>
        <v>&lt;span style='color:blue;'&gt;Giai đoạn gà giò&lt;/span&gt;: Ông/bà dùng  &lt;span style='color:blue;'&gt;${s27c2_cur_agvet_finisher_ab_name}&lt;/span&gt; cho mục đích gì?</v>
      </c>
      <c r="G288" s="72" t="str">
        <f t="shared" ref="G288:G293" si="32">CONCATENATE(UPPER(B288),UPPER(C288),": ",F288)</f>
        <v>S27Q194: &lt;span style='color:blue;'&gt;Giai đoạn gà giò&lt;/span&gt;: Ông/bà dùng  &lt;span style='color:blue;'&gt;${s27c2_cur_agvet_finisher_ab_name}&lt;/span&gt; cho mục đích gì?</v>
      </c>
      <c r="H288" s="72"/>
      <c r="I288" s="72"/>
      <c r="J288" s="72"/>
      <c r="K288" s="72" t="s">
        <v>40</v>
      </c>
      <c r="L288" s="72"/>
      <c r="M288" s="72"/>
      <c r="N288" s="72"/>
      <c r="O288" s="72"/>
      <c r="P288" s="72"/>
      <c r="Q288" s="72"/>
      <c r="R288" s="72"/>
      <c r="S288" s="75"/>
    </row>
    <row r="289" spans="1:19" x14ac:dyDescent="0.2">
      <c r="A289" s="71" t="s">
        <v>636</v>
      </c>
      <c r="B289" s="72" t="s">
        <v>682</v>
      </c>
      <c r="C289" s="72" t="s">
        <v>704</v>
      </c>
      <c r="D289" s="72" t="s">
        <v>638</v>
      </c>
      <c r="E289" s="73" t="str">
        <f t="shared" si="31"/>
        <v>s27q195_use_reason</v>
      </c>
      <c r="F289" s="72" t="str">
        <f>CONCATENATE("&lt;span style='color:blue;'&gt;Giai đoạn gà giò&lt;/span&gt;: Vì sao ông/bà quyết định sử dụng loại  &lt;span style='color:blue;'&gt;${",E284,"}&lt;/span&gt;này?")</f>
        <v>&lt;span style='color:blue;'&gt;Giai đoạn gà giò&lt;/span&gt;: Vì sao ông/bà quyết định sử dụng loại  &lt;span style='color:blue;'&gt;${s27c2_cur_agvet_finisher_ab_name}&lt;/span&gt;này?</v>
      </c>
      <c r="G289" s="72" t="str">
        <f t="shared" si="32"/>
        <v>S27Q195: &lt;span style='color:blue;'&gt;Giai đoạn gà giò&lt;/span&gt;: Vì sao ông/bà quyết định sử dụng loại  &lt;span style='color:blue;'&gt;${s27c2_cur_agvet_finisher_ab_name}&lt;/span&gt;này?</v>
      </c>
      <c r="H289" s="72"/>
      <c r="I289" s="72"/>
      <c r="J289" s="72"/>
      <c r="K289" s="72" t="s">
        <v>40</v>
      </c>
      <c r="L289" s="72"/>
      <c r="M289" s="72"/>
      <c r="N289" s="72"/>
      <c r="O289" s="72"/>
      <c r="P289" s="72"/>
      <c r="Q289" s="72"/>
      <c r="R289" s="72"/>
      <c r="S289" s="75"/>
    </row>
    <row r="290" spans="1:19" x14ac:dyDescent="0.2">
      <c r="A290" s="71" t="s">
        <v>639</v>
      </c>
      <c r="B290" s="72" t="s">
        <v>682</v>
      </c>
      <c r="C290" s="72" t="s">
        <v>705</v>
      </c>
      <c r="D290" s="72" t="s">
        <v>641</v>
      </c>
      <c r="E290" s="73" t="str">
        <f t="shared" si="31"/>
        <v>s27q196_source</v>
      </c>
      <c r="F290" s="72" t="str">
        <f>CONCATENATE("&lt;span style='color:blue;'&gt;Giai đoạn gà giò&lt;/span&gt;: Ông/bà mua &lt;span style='color:blue;'&gt;${",E284,"}&lt;/span&gt; này ở đâu?")</f>
        <v>&lt;span style='color:blue;'&gt;Giai đoạn gà giò&lt;/span&gt;: Ông/bà mua &lt;span style='color:blue;'&gt;${s27c2_cur_agvet_finisher_ab_name}&lt;/span&gt; này ở đâu?</v>
      </c>
      <c r="G290" s="72" t="str">
        <f t="shared" si="32"/>
        <v>S27Q196: &lt;span style='color:blue;'&gt;Giai đoạn gà giò&lt;/span&gt;: Ông/bà mua &lt;span style='color:blue;'&gt;${s27c2_cur_agvet_finisher_ab_name}&lt;/span&gt; này ở đâu?</v>
      </c>
      <c r="H290" s="72"/>
      <c r="I290" s="72"/>
      <c r="J290" s="72"/>
      <c r="K290" s="72" t="s">
        <v>40</v>
      </c>
      <c r="L290" s="72"/>
      <c r="M290" s="72"/>
      <c r="N290" s="72"/>
      <c r="O290" s="72"/>
      <c r="P290" s="72"/>
      <c r="Q290" s="72"/>
      <c r="R290" s="72"/>
      <c r="S290" s="75"/>
    </row>
    <row r="291" spans="1:19" x14ac:dyDescent="0.2">
      <c r="A291" s="71" t="s">
        <v>645</v>
      </c>
      <c r="B291" s="72" t="s">
        <v>682</v>
      </c>
      <c r="C291" s="72" t="s">
        <v>706</v>
      </c>
      <c r="D291" s="72" t="s">
        <v>647</v>
      </c>
      <c r="E291" s="73" t="str">
        <f t="shared" si="31"/>
        <v>s27q197_who_admin</v>
      </c>
      <c r="F291" s="72" t="str">
        <f>CONCATENATE("&lt;span style='color:blue;'&gt;Giai đoạn gà giò&lt;/span&gt;: Ai là người dùng/trộn/tiêm  &lt;span style='color:blue;'&gt;${",E284,"}&lt;/span&gt;đó cho đàn gà?")</f>
        <v>&lt;span style='color:blue;'&gt;Giai đoạn gà giò&lt;/span&gt;: Ai là người dùng/trộn/tiêm  &lt;span style='color:blue;'&gt;${s27c2_cur_agvet_finisher_ab_name}&lt;/span&gt;đó cho đàn gà?</v>
      </c>
      <c r="G291" s="72" t="str">
        <f t="shared" si="32"/>
        <v>S27Q197: &lt;span style='color:blue;'&gt;Giai đoạn gà giò&lt;/span&gt;: Ai là người dùng/trộn/tiêm  &lt;span style='color:blue;'&gt;${s27c2_cur_agvet_finisher_ab_name}&lt;/span&gt;đó cho đàn gà?</v>
      </c>
      <c r="H291" s="72"/>
      <c r="I291" s="72"/>
      <c r="J291" s="72"/>
      <c r="K291" s="72" t="s">
        <v>40</v>
      </c>
      <c r="L291" s="72"/>
      <c r="M291" s="72"/>
      <c r="N291" s="72"/>
      <c r="O291" s="72"/>
      <c r="P291" s="72"/>
      <c r="Q291" s="72"/>
      <c r="R291" s="72"/>
      <c r="S291" s="75"/>
    </row>
    <row r="292" spans="1:19" x14ac:dyDescent="0.2">
      <c r="A292" s="71" t="s">
        <v>648</v>
      </c>
      <c r="B292" s="72" t="s">
        <v>682</v>
      </c>
      <c r="C292" s="72" t="s">
        <v>707</v>
      </c>
      <c r="D292" s="72" t="s">
        <v>650</v>
      </c>
      <c r="E292" s="73" t="str">
        <f t="shared" si="31"/>
        <v>s27q198_how_knowhow</v>
      </c>
      <c r="F292" s="72" t="str">
        <f>CONCATENATE("&lt;span style='color:blue;'&gt;Giai đoạn gà giò&lt;/span&gt;: Làm thế nào ông/bà hay họ biết cách sử dụng loại  &lt;span style='color:blue;'&gt;${",E284,"}&lt;/span&gt;đó?")</f>
        <v>&lt;span style='color:blue;'&gt;Giai đoạn gà giò&lt;/span&gt;: Làm thế nào ông/bà hay họ biết cách sử dụng loại  &lt;span style='color:blue;'&gt;${s27c2_cur_agvet_finisher_ab_name}&lt;/span&gt;đó?</v>
      </c>
      <c r="G292" s="72" t="str">
        <f t="shared" si="32"/>
        <v>S27Q198: &lt;span style='color:blue;'&gt;Giai đoạn gà giò&lt;/span&gt;: Làm thế nào ông/bà hay họ biết cách sử dụng loại  &lt;span style='color:blue;'&gt;${s27c2_cur_agvet_finisher_ab_name}&lt;/span&gt;đó?</v>
      </c>
      <c r="H292" s="72"/>
      <c r="I292" s="72"/>
      <c r="J292" s="72"/>
      <c r="K292" s="72" t="s">
        <v>40</v>
      </c>
      <c r="L292" s="72"/>
      <c r="M292" s="72" t="str">
        <f>CONCATENATE("selected(${",E291,"},'myself') or selected(${",E291,"},'farm_worker') or selected(${",E291,"},'friends')")</f>
        <v>selected(${s27q197_who_admin},'myself') or selected(${s27q197_who_admin},'farm_worker') or selected(${s27q197_who_admin},'friends')</v>
      </c>
      <c r="N292" s="72"/>
      <c r="O292" s="72"/>
      <c r="P292" s="72"/>
      <c r="Q292" s="72"/>
      <c r="R292" s="72"/>
      <c r="S292" s="75"/>
    </row>
    <row r="293" spans="1:19" x14ac:dyDescent="0.2">
      <c r="A293" s="71" t="s">
        <v>88</v>
      </c>
      <c r="B293" s="72" t="s">
        <v>682</v>
      </c>
      <c r="C293" s="72" t="s">
        <v>708</v>
      </c>
      <c r="D293" s="72" t="s">
        <v>652</v>
      </c>
      <c r="E293" s="73" t="str">
        <f t="shared" si="31"/>
        <v>s27q199_no_occassions</v>
      </c>
      <c r="F293" s="72" t="str">
        <f>CONCATENATE("&lt;span style='color:blue;'&gt;Giai đoạn gà giò&lt;/span&gt;: Ông/bà dùng &lt;span style='color:blue;'&gt;${",E284,"}&lt;/span&gt; cho lứa gà gần đây nhất của mình bao nhiêu lần?")</f>
        <v>&lt;span style='color:blue;'&gt;Giai đoạn gà giò&lt;/span&gt;: Ông/bà dùng &lt;span style='color:blue;'&gt;${s27c2_cur_agvet_finisher_ab_name}&lt;/span&gt; cho lứa gà gần đây nhất của mình bao nhiêu lần?</v>
      </c>
      <c r="G293" s="72" t="str">
        <f t="shared" si="32"/>
        <v>S27Q199: &lt;span style='color:blue;'&gt;Giai đoạn gà giò&lt;/span&gt;: Ông/bà dùng &lt;span style='color:blue;'&gt;${s27c2_cur_agvet_finisher_ab_name}&lt;/span&gt; cho lứa gà gần đây nhất của mình bao nhiêu lần?</v>
      </c>
      <c r="H293" s="72"/>
      <c r="I293" s="72" t="s">
        <v>184</v>
      </c>
      <c r="J293" s="72"/>
      <c r="K293" s="72" t="s">
        <v>40</v>
      </c>
      <c r="L293" s="72"/>
      <c r="M293" s="72"/>
      <c r="N293" s="72"/>
      <c r="O293" s="72"/>
      <c r="P293" s="72"/>
      <c r="Q293" s="72"/>
      <c r="R293" s="72"/>
      <c r="S293" s="75"/>
    </row>
    <row r="294" spans="1:19" x14ac:dyDescent="0.2">
      <c r="A294" s="62" t="s">
        <v>74</v>
      </c>
      <c r="C294" s="4" t="s">
        <v>43</v>
      </c>
      <c r="S294" s="63"/>
    </row>
    <row r="295" spans="1:19" x14ac:dyDescent="0.2">
      <c r="A295" s="71" t="s">
        <v>123</v>
      </c>
      <c r="B295" s="72" t="s">
        <v>682</v>
      </c>
      <c r="C295" s="72" t="s">
        <v>43</v>
      </c>
      <c r="D295" s="72" t="s">
        <v>709</v>
      </c>
      <c r="E295" s="73" t="str">
        <f>CONCATENATE(B295,C295,"_",D295)</f>
        <v>s27_rpt_agvet_finisher_ab_occ</v>
      </c>
      <c r="F295" s="72" t="s">
        <v>654</v>
      </c>
      <c r="G295" s="72" t="str">
        <f>CONCATENATE(UPPER(B295),UPPER(C295),": ",F295)</f>
        <v>S27: Chi tiết các lần dùng</v>
      </c>
      <c r="H295" s="72"/>
      <c r="I295" s="72"/>
      <c r="J295" s="72"/>
      <c r="K295" s="72"/>
      <c r="L295" s="72"/>
      <c r="M295" s="72"/>
      <c r="N295" s="72"/>
      <c r="O295" s="72" t="str">
        <f>CONCATENATE("${",E293,"}")</f>
        <v>${s27q199_no_occassions}</v>
      </c>
      <c r="P295" s="72"/>
      <c r="Q295" s="72"/>
      <c r="R295" s="72"/>
      <c r="S295" s="75"/>
    </row>
    <row r="296" spans="1:19" x14ac:dyDescent="0.2">
      <c r="A296" s="71" t="s">
        <v>127</v>
      </c>
      <c r="B296" s="72" t="s">
        <v>655</v>
      </c>
      <c r="C296" s="72" t="s">
        <v>128</v>
      </c>
      <c r="D296" s="72" t="s">
        <v>710</v>
      </c>
      <c r="E296" s="73" t="str">
        <f>CONCATENATE(B296,C296,"_",D296)</f>
        <v>s36c1_cur_rpt_agvet_finisher_ab_name</v>
      </c>
      <c r="F296" s="72"/>
      <c r="G296" s="72"/>
      <c r="H296" s="72"/>
      <c r="I296" s="72"/>
      <c r="J296" s="72"/>
      <c r="K296" s="72"/>
      <c r="L296" s="72"/>
      <c r="M296" s="72"/>
      <c r="N296" s="72"/>
      <c r="O296" s="72"/>
      <c r="P296" s="72" t="str">
        <f>CONCATENATE("${",E284,"}")</f>
        <v>${s27c2_cur_agvet_finisher_ab_name}</v>
      </c>
      <c r="Q296" s="72"/>
      <c r="R296" s="72"/>
      <c r="S296" s="75"/>
    </row>
    <row r="297" spans="1:19" x14ac:dyDescent="0.2">
      <c r="A297" s="71" t="s">
        <v>127</v>
      </c>
      <c r="B297" s="72" t="s">
        <v>682</v>
      </c>
      <c r="C297" s="72" t="s">
        <v>128</v>
      </c>
      <c r="D297" s="72" t="s">
        <v>711</v>
      </c>
      <c r="E297" s="73" t="str">
        <f>CONCATENATE(B297,C297,"_",D297)</f>
        <v>s27c1_cur_agvet_finisher_ab_occassion</v>
      </c>
      <c r="F297" s="72"/>
      <c r="G297" s="72"/>
      <c r="H297" s="72"/>
      <c r="I297" s="72"/>
      <c r="J297" s="72"/>
      <c r="K297" s="72"/>
      <c r="L297" s="72"/>
      <c r="M297" s="72"/>
      <c r="N297" s="72"/>
      <c r="O297" s="72"/>
      <c r="P297" s="72" t="s">
        <v>658</v>
      </c>
      <c r="Q297" s="72"/>
      <c r="R297" s="72"/>
      <c r="S297" s="75"/>
    </row>
    <row r="298" spans="1:19" x14ac:dyDescent="0.2">
      <c r="A298" s="71" t="s">
        <v>88</v>
      </c>
      <c r="B298" s="72" t="s">
        <v>682</v>
      </c>
      <c r="C298" s="72" t="s">
        <v>712</v>
      </c>
      <c r="D298" s="72" t="s">
        <v>660</v>
      </c>
      <c r="E298" s="73" t="str">
        <f>CONCATENATE(B298,C298,"_",D298)</f>
        <v>s27q200_birds_age</v>
      </c>
      <c r="F298" s="72" t="str">
        <f>CONCATENATE("Ông/bà dùng  &lt;span style='color:blue;'&gt;${",E296,"}&lt;/span&gt; the &lt;span style='color:blue;'&gt;${",E297,"}&lt;/span&gt; cho đàn gà của mình vào giai đoạn tuổi nào? (Lưu ý: tính theo tuần tuổi)")</f>
        <v>Ông/bà dùng  &lt;span style='color:blue;'&gt;${s36c1_cur_rpt_agvet_finisher_ab_name}&lt;/span&gt; the &lt;span style='color:blue;'&gt;${s27c1_cur_agvet_finisher_ab_occassion}&lt;/span&gt; cho đàn gà của mình vào giai đoạn tuổi nào? (Lưu ý: tính theo tuần tuổi)</v>
      </c>
      <c r="G298" s="72" t="str">
        <f>CONCATENATE(UPPER(B298),UPPER(C298),": ",F298)</f>
        <v>S27Q200: Ông/bà dùng  &lt;span style='color:blue;'&gt;${s36c1_cur_rpt_agvet_finisher_ab_name}&lt;/span&gt; the &lt;span style='color:blue;'&gt;${s27c1_cur_agvet_finisher_ab_occassion}&lt;/span&gt; cho đàn gà của mình vào giai đoạn tuổi nào? (Lưu ý: tính theo tuần tuổi)</v>
      </c>
      <c r="H298" s="72" t="s">
        <v>2420</v>
      </c>
      <c r="I298" s="72" t="s">
        <v>106</v>
      </c>
      <c r="J298" s="72"/>
      <c r="K298" s="72" t="s">
        <v>40</v>
      </c>
      <c r="L298" s="72"/>
      <c r="M298" s="72"/>
      <c r="N298" s="72"/>
      <c r="O298" s="72"/>
      <c r="P298" s="72"/>
      <c r="Q298" s="72"/>
      <c r="R298" s="72"/>
      <c r="S298" s="75"/>
    </row>
    <row r="299" spans="1:19" x14ac:dyDescent="0.2">
      <c r="A299" s="71" t="s">
        <v>88</v>
      </c>
      <c r="B299" s="72" t="s">
        <v>682</v>
      </c>
      <c r="C299" s="72" t="s">
        <v>713</v>
      </c>
      <c r="D299" s="72" t="s">
        <v>598</v>
      </c>
      <c r="E299" s="73" t="str">
        <f>CONCATENATE(B299,C299,"_",D299)</f>
        <v>s27q201_cost</v>
      </c>
      <c r="F299" s="72" t="str">
        <f>CONCATENATE("Chi phí cho &lt;span style='color:blue;'&gt;${",E296,"}&lt;/span&gt; lần dùng đó &lt;span style='color:blue;'&gt;${",E297,"}&lt;/span&gt;là khoảng bao nhiêu? (Lưu ý: tính bằng nghìn VNĐ) ")</f>
        <v xml:space="preserve">Chi phí cho &lt;span style='color:blue;'&gt;${s36c1_cur_rpt_agvet_finisher_ab_name}&lt;/span&gt; lần dùng đó &lt;span style='color:blue;'&gt;${s27c1_cur_agvet_finisher_ab_occassion}&lt;/span&gt;là khoảng bao nhiêu? (Lưu ý: tính bằng nghìn VNĐ) </v>
      </c>
      <c r="G299" s="72" t="str">
        <f>CONCATENATE(UPPER(B299),UPPER(C299),": ",F299)</f>
        <v xml:space="preserve">S27Q201: Chi phí cho &lt;span style='color:blue;'&gt;${s36c1_cur_rpt_agvet_finisher_ab_name}&lt;/span&gt; lần dùng đó &lt;span style='color:blue;'&gt;${s27c1_cur_agvet_finisher_ab_occassion}&lt;/span&gt;là khoảng bao nhiêu? (Lưu ý: tính bằng nghìn VNĐ) </v>
      </c>
      <c r="H299" s="72" t="s">
        <v>2421</v>
      </c>
      <c r="I299" s="72" t="s">
        <v>106</v>
      </c>
      <c r="J299" s="72"/>
      <c r="K299" s="72" t="s">
        <v>40</v>
      </c>
      <c r="L299" s="72"/>
      <c r="M299" s="72"/>
      <c r="N299" s="72"/>
      <c r="O299" s="72"/>
      <c r="P299" s="72"/>
      <c r="Q299" s="72"/>
      <c r="R299" s="72"/>
      <c r="S299" s="75"/>
    </row>
    <row r="300" spans="1:19" x14ac:dyDescent="0.2">
      <c r="A300" s="62" t="s">
        <v>147</v>
      </c>
      <c r="C300" s="4" t="s">
        <v>43</v>
      </c>
      <c r="S300" s="63"/>
    </row>
    <row r="301" spans="1:19" ht="12.75" thickBot="1" x14ac:dyDescent="0.25">
      <c r="A301" s="64" t="s">
        <v>147</v>
      </c>
      <c r="B301" s="65"/>
      <c r="C301" s="65" t="s">
        <v>43</v>
      </c>
      <c r="D301" s="65"/>
      <c r="E301" s="65"/>
      <c r="F301" s="65"/>
      <c r="G301" s="65"/>
      <c r="H301" s="65"/>
      <c r="I301" s="65"/>
      <c r="J301" s="65"/>
      <c r="K301" s="65"/>
      <c r="L301" s="65"/>
      <c r="M301" s="65"/>
      <c r="N301" s="65"/>
      <c r="O301" s="65"/>
      <c r="P301" s="65"/>
      <c r="Q301" s="65"/>
      <c r="R301" s="65"/>
      <c r="S301" s="66"/>
    </row>
    <row r="302" spans="1:19" x14ac:dyDescent="0.2">
      <c r="A302" s="52" t="s">
        <v>662</v>
      </c>
      <c r="B302" s="53" t="s">
        <v>682</v>
      </c>
      <c r="C302" s="53" t="s">
        <v>714</v>
      </c>
      <c r="D302" s="53" t="s">
        <v>664</v>
      </c>
      <c r="E302" s="54" t="str">
        <f>CONCATENATE(B302,C302,"_",D302)</f>
        <v>s27q202_vitamins</v>
      </c>
      <c r="F302" s="53" t="s">
        <v>665</v>
      </c>
      <c r="G302" s="53" t="str">
        <f>CONCATENATE(UPPER(B302),UPPER(C302),": ",F302)</f>
        <v>S27Q202: Ông/bà có bổ sung loại vitamin nào không</v>
      </c>
      <c r="H302" s="53"/>
      <c r="I302" s="53"/>
      <c r="J302" s="53"/>
      <c r="K302" s="53" t="s">
        <v>40</v>
      </c>
      <c r="L302" s="53" t="s">
        <v>624</v>
      </c>
      <c r="M302" s="53" t="str">
        <f>CONCATENATE("selected(${",E279,"},'vitamins')")</f>
        <v>selected(${s27q190_agvet_finisher_addons},'vitamins')</v>
      </c>
      <c r="N302" s="53"/>
      <c r="O302" s="53"/>
      <c r="P302" s="53"/>
      <c r="Q302" s="53"/>
      <c r="R302" s="53"/>
      <c r="S302" s="55"/>
    </row>
    <row r="303" spans="1:19" x14ac:dyDescent="0.2">
      <c r="A303" s="56" t="s">
        <v>123</v>
      </c>
      <c r="B303" s="57" t="s">
        <v>682</v>
      </c>
      <c r="C303" s="57" t="s">
        <v>43</v>
      </c>
      <c r="D303" s="57" t="s">
        <v>715</v>
      </c>
      <c r="E303" s="58" t="str">
        <f>CONCATENATE(B303,C303,"_",D303)</f>
        <v>s27_rpt_agvet_finisher_vitamins</v>
      </c>
      <c r="F303" s="57" t="s">
        <v>667</v>
      </c>
      <c r="G303" s="57" t="str">
        <f>CONCATENATE(UPPER(B303),UPPER(C303),": ",F303)</f>
        <v>S27: Thông tin chi tiết về Vitamin</v>
      </c>
      <c r="H303" s="57"/>
      <c r="I303" s="57"/>
      <c r="J303" s="57"/>
      <c r="K303" s="57"/>
      <c r="L303" s="57"/>
      <c r="M303" s="57" t="str">
        <f>CONCATENATE("selected(${",E279,"},'vitamins')")</f>
        <v>selected(${s27q190_agvet_finisher_addons},'vitamins')</v>
      </c>
      <c r="N303" s="57"/>
      <c r="O303" s="59" t="str">
        <f>CONCATENATE("count-selected(${",E302,"})")</f>
        <v>count-selected(${s27q202_vitamins})</v>
      </c>
      <c r="P303" s="57"/>
      <c r="Q303" s="57"/>
      <c r="R303" s="57"/>
      <c r="S303" s="60"/>
    </row>
    <row r="304" spans="1:19" x14ac:dyDescent="0.2">
      <c r="A304" s="56" t="s">
        <v>127</v>
      </c>
      <c r="B304" s="57" t="s">
        <v>682</v>
      </c>
      <c r="C304" s="57" t="s">
        <v>128</v>
      </c>
      <c r="D304" s="57" t="s">
        <v>717</v>
      </c>
      <c r="E304" s="58" t="str">
        <f>CONCATENATE(B304,C304,"_",D304)</f>
        <v>s27c1_cur_agvet_finisher_vitamin</v>
      </c>
      <c r="F304" s="57"/>
      <c r="G304" s="57"/>
      <c r="H304" s="57"/>
      <c r="I304" s="57"/>
      <c r="J304" s="57"/>
      <c r="K304" s="57"/>
      <c r="L304" s="57"/>
      <c r="M304" s="57"/>
      <c r="N304" s="57"/>
      <c r="O304" s="57"/>
      <c r="P304" s="61" t="str">
        <f>CONCATENATE("selected-at(${",E302,"}, position(..)-1)")</f>
        <v>selected-at(${s27q202_vitamins}, position(..)-1)</v>
      </c>
      <c r="Q304" s="57"/>
      <c r="R304" s="57"/>
      <c r="S304" s="60"/>
    </row>
    <row r="305" spans="1:19" x14ac:dyDescent="0.2">
      <c r="A305" s="56" t="s">
        <v>127</v>
      </c>
      <c r="B305" s="57" t="s">
        <v>682</v>
      </c>
      <c r="C305" s="57" t="s">
        <v>130</v>
      </c>
      <c r="D305" s="57" t="s">
        <v>718</v>
      </c>
      <c r="E305" s="58" t="str">
        <f>CONCATENATE(B305,C305,"_",D305)</f>
        <v>s27c2_cur_agvet_finisher_vitamin_name</v>
      </c>
      <c r="F305" s="57"/>
      <c r="G305" s="57"/>
      <c r="H305" s="57"/>
      <c r="I305" s="57"/>
      <c r="J305" s="57"/>
      <c r="K305" s="57"/>
      <c r="L305" s="57"/>
      <c r="M305" s="57"/>
      <c r="N305" s="57"/>
      <c r="O305" s="57"/>
      <c r="P305" s="61" t="str">
        <f>CONCATENATE("if(string-length(../",E304,") != 0,jr:choice-name(${",E304,"},'${",E302,"}'),'unknown')")</f>
        <v>if(string-length(../s27c1_cur_agvet_finisher_vitamin) != 0,jr:choice-name(${s27c1_cur_agvet_finisher_vitamin},'${s27q202_vitamins}'),'unknown')</v>
      </c>
      <c r="Q305" s="57"/>
      <c r="R305" s="57"/>
      <c r="S305" s="60"/>
    </row>
    <row r="306" spans="1:19" x14ac:dyDescent="0.2">
      <c r="A306" s="56" t="s">
        <v>41</v>
      </c>
      <c r="B306" s="57" t="s">
        <v>682</v>
      </c>
      <c r="C306" s="57" t="s">
        <v>43</v>
      </c>
      <c r="D306" s="57" t="s">
        <v>719</v>
      </c>
      <c r="E306" s="58" t="str">
        <f>CONCATENATE(B306,C306,"_",D306)</f>
        <v>s27_grp_agvet_finisher_vitamin</v>
      </c>
      <c r="F306" s="57" t="s">
        <v>667</v>
      </c>
      <c r="G306" s="57" t="str">
        <f>CONCATENATE(UPPER(B306),UPPER(C306),": ",F306)</f>
        <v>S27: Thông tin chi tiết về Vitamin</v>
      </c>
      <c r="H306" s="57"/>
      <c r="I306" s="57"/>
      <c r="J306" s="57"/>
      <c r="K306" s="57"/>
      <c r="L306" s="57"/>
      <c r="M306" s="57"/>
      <c r="N306" s="57"/>
      <c r="O306" s="59"/>
      <c r="P306" s="57"/>
      <c r="Q306" s="57"/>
      <c r="R306" s="57"/>
      <c r="S306" s="60"/>
    </row>
    <row r="307" spans="1:19" x14ac:dyDescent="0.2">
      <c r="A307" s="56" t="s">
        <v>633</v>
      </c>
      <c r="B307" s="57" t="s">
        <v>682</v>
      </c>
      <c r="C307" s="57" t="s">
        <v>720</v>
      </c>
      <c r="D307" s="57" t="s">
        <v>635</v>
      </c>
      <c r="E307" s="58" t="str">
        <f t="shared" ref="E307:E312" si="33">CONCATENATE(B307,C307,"_",D307)</f>
        <v>s27q203_purpose</v>
      </c>
      <c r="F307" s="57" t="str">
        <f>CONCATENATE("&lt;span style='color:blue;'&gt;Giai đoạn gà giò&lt;/span&gt;: Ông/bà dùng  &lt;span style='color:blue;'&gt;${",E305,"}&lt;/span&gt;cho mục đích gì?")</f>
        <v>&lt;span style='color:blue;'&gt;Giai đoạn gà giò&lt;/span&gt;: Ông/bà dùng  &lt;span style='color:blue;'&gt;${s27c2_cur_agvet_finisher_vitamin_name}&lt;/span&gt;cho mục đích gì?</v>
      </c>
      <c r="G307" s="57" t="str">
        <f t="shared" ref="G307:G312" si="34">CONCATENATE(UPPER(B307),UPPER(C307),": ",F307)</f>
        <v>S27Q203: &lt;span style='color:blue;'&gt;Giai đoạn gà giò&lt;/span&gt;: Ông/bà dùng  &lt;span style='color:blue;'&gt;${s27c2_cur_agvet_finisher_vitamin_name}&lt;/span&gt;cho mục đích gì?</v>
      </c>
      <c r="H307" s="57"/>
      <c r="I307" s="57"/>
      <c r="J307" s="57"/>
      <c r="K307" s="57" t="s">
        <v>40</v>
      </c>
      <c r="L307" s="57"/>
      <c r="M307" s="57"/>
      <c r="N307" s="57"/>
      <c r="O307" s="57"/>
      <c r="P307" s="57"/>
      <c r="Q307" s="57"/>
      <c r="R307" s="57"/>
      <c r="S307" s="60"/>
    </row>
    <row r="308" spans="1:19" x14ac:dyDescent="0.2">
      <c r="A308" s="56" t="s">
        <v>636</v>
      </c>
      <c r="B308" s="57" t="s">
        <v>682</v>
      </c>
      <c r="C308" s="57" t="s">
        <v>721</v>
      </c>
      <c r="D308" s="57" t="s">
        <v>638</v>
      </c>
      <c r="E308" s="58" t="str">
        <f t="shared" si="33"/>
        <v>s27q204_use_reason</v>
      </c>
      <c r="F308" s="57" t="str">
        <f>CONCATENATE("&lt;span style='color:blue;'&gt;Giai đoạn gà giò&lt;/span&gt;: Vì sao ông/bà quyết định sử dụng loại &lt;span style='color:blue;'&gt;${",E305,"}&lt;/span&gt;này?")</f>
        <v>&lt;span style='color:blue;'&gt;Giai đoạn gà giò&lt;/span&gt;: Vì sao ông/bà quyết định sử dụng loại &lt;span style='color:blue;'&gt;${s27c2_cur_agvet_finisher_vitamin_name}&lt;/span&gt;này?</v>
      </c>
      <c r="G308" s="57" t="str">
        <f t="shared" si="34"/>
        <v>S27Q204: &lt;span style='color:blue;'&gt;Giai đoạn gà giò&lt;/span&gt;: Vì sao ông/bà quyết định sử dụng loại &lt;span style='color:blue;'&gt;${s27c2_cur_agvet_finisher_vitamin_name}&lt;/span&gt;này?</v>
      </c>
      <c r="H308" s="57"/>
      <c r="I308" s="57"/>
      <c r="J308" s="57"/>
      <c r="K308" s="57" t="s">
        <v>40</v>
      </c>
      <c r="L308" s="57"/>
      <c r="M308" s="57"/>
      <c r="N308" s="57"/>
      <c r="O308" s="57"/>
      <c r="P308" s="57"/>
      <c r="Q308" s="57"/>
      <c r="R308" s="57"/>
      <c r="S308" s="60"/>
    </row>
    <row r="309" spans="1:19" x14ac:dyDescent="0.2">
      <c r="A309" s="56" t="s">
        <v>639</v>
      </c>
      <c r="B309" s="57" t="s">
        <v>682</v>
      </c>
      <c r="C309" s="57" t="s">
        <v>722</v>
      </c>
      <c r="D309" s="57" t="s">
        <v>641</v>
      </c>
      <c r="E309" s="58" t="str">
        <f t="shared" si="33"/>
        <v>s27q205_source</v>
      </c>
      <c r="F309" s="57" t="str">
        <f>CONCATENATE("&lt;span style='color:blue;'&gt;Giai đoạn gà giò&lt;/span&gt;: Ông/bà mua &lt;span style='color:blue;'&gt;${",E305,"}&lt;/span&gt; này ở đâu?")</f>
        <v>&lt;span style='color:blue;'&gt;Giai đoạn gà giò&lt;/span&gt;: Ông/bà mua &lt;span style='color:blue;'&gt;${s27c2_cur_agvet_finisher_vitamin_name}&lt;/span&gt; này ở đâu?</v>
      </c>
      <c r="G309" s="57" t="str">
        <f t="shared" si="34"/>
        <v>S27Q205: &lt;span style='color:blue;'&gt;Giai đoạn gà giò&lt;/span&gt;: Ông/bà mua &lt;span style='color:blue;'&gt;${s27c2_cur_agvet_finisher_vitamin_name}&lt;/span&gt; này ở đâu?</v>
      </c>
      <c r="H309" s="57"/>
      <c r="I309" s="57"/>
      <c r="J309" s="57"/>
      <c r="K309" s="57" t="s">
        <v>40</v>
      </c>
      <c r="L309" s="57"/>
      <c r="M309" s="57"/>
      <c r="N309" s="57"/>
      <c r="O309" s="57"/>
      <c r="P309" s="57"/>
      <c r="Q309" s="57"/>
      <c r="R309" s="57"/>
      <c r="S309" s="60"/>
    </row>
    <row r="310" spans="1:19" x14ac:dyDescent="0.2">
      <c r="A310" s="56" t="s">
        <v>645</v>
      </c>
      <c r="B310" s="57" t="s">
        <v>682</v>
      </c>
      <c r="C310" s="57" t="s">
        <v>723</v>
      </c>
      <c r="D310" s="57" t="s">
        <v>647</v>
      </c>
      <c r="E310" s="58" t="str">
        <f t="shared" si="33"/>
        <v>s27q206_who_admin</v>
      </c>
      <c r="F310" s="57" t="str">
        <f>CONCATENATE("&lt;span style='color:blue;'&gt;Giai đoạn gà giò&lt;/span&gt;: Ai là người dùng/trộn/tiêm  &lt;span style='color:blue;'&gt;${",E305,"}&lt;/span&gt; đó cho đàn gà?")</f>
        <v>&lt;span style='color:blue;'&gt;Giai đoạn gà giò&lt;/span&gt;: Ai là người dùng/trộn/tiêm  &lt;span style='color:blue;'&gt;${s27c2_cur_agvet_finisher_vitamin_name}&lt;/span&gt; đó cho đàn gà?</v>
      </c>
      <c r="G310" s="57" t="str">
        <f t="shared" si="34"/>
        <v>S27Q206: &lt;span style='color:blue;'&gt;Giai đoạn gà giò&lt;/span&gt;: Ai là người dùng/trộn/tiêm  &lt;span style='color:blue;'&gt;${s27c2_cur_agvet_finisher_vitamin_name}&lt;/span&gt; đó cho đàn gà?</v>
      </c>
      <c r="H310" s="57"/>
      <c r="I310" s="57"/>
      <c r="J310" s="57"/>
      <c r="K310" s="57" t="s">
        <v>40</v>
      </c>
      <c r="L310" s="57"/>
      <c r="M310" s="57"/>
      <c r="N310" s="57"/>
      <c r="O310" s="57"/>
      <c r="P310" s="57"/>
      <c r="Q310" s="57"/>
      <c r="R310" s="57"/>
      <c r="S310" s="60"/>
    </row>
    <row r="311" spans="1:19" x14ac:dyDescent="0.2">
      <c r="A311" s="56" t="s">
        <v>648</v>
      </c>
      <c r="B311" s="57" t="s">
        <v>682</v>
      </c>
      <c r="C311" s="57" t="s">
        <v>724</v>
      </c>
      <c r="D311" s="57" t="s">
        <v>650</v>
      </c>
      <c r="E311" s="58" t="str">
        <f t="shared" si="33"/>
        <v>s27q207_how_knowhow</v>
      </c>
      <c r="F311" s="57" t="str">
        <f>CONCATENATE("&lt;span style='color:blue;'&gt;Giai đoạn gà giò&lt;/span&gt;: Làm thế nào ông/bà hay họ biết cách sử dụng loại &lt;span style='color:blue;'&gt;${",E305,"}&lt;/span&gt;đó?")</f>
        <v>&lt;span style='color:blue;'&gt;Giai đoạn gà giò&lt;/span&gt;: Làm thế nào ông/bà hay họ biết cách sử dụng loại &lt;span style='color:blue;'&gt;${s27c2_cur_agvet_finisher_vitamin_name}&lt;/span&gt;đó?</v>
      </c>
      <c r="G311" s="57" t="str">
        <f t="shared" si="34"/>
        <v>S27Q207: &lt;span style='color:blue;'&gt;Giai đoạn gà giò&lt;/span&gt;: Làm thế nào ông/bà hay họ biết cách sử dụng loại &lt;span style='color:blue;'&gt;${s27c2_cur_agvet_finisher_vitamin_name}&lt;/span&gt;đó?</v>
      </c>
      <c r="H311" s="57"/>
      <c r="I311" s="57"/>
      <c r="J311" s="57"/>
      <c r="K311" s="57" t="s">
        <v>40</v>
      </c>
      <c r="L311" s="57"/>
      <c r="M311" s="57" t="str">
        <f>CONCATENATE("selected(${",E310,"},'myself') or selected(${",E310,"},'farm_worker') or selected(${",E310,"},'friends')")</f>
        <v>selected(${s27q206_who_admin},'myself') or selected(${s27q206_who_admin},'farm_worker') or selected(${s27q206_who_admin},'friends')</v>
      </c>
      <c r="N311" s="57"/>
      <c r="O311" s="57"/>
      <c r="P311" s="57"/>
      <c r="Q311" s="57"/>
      <c r="R311" s="57"/>
      <c r="S311" s="60"/>
    </row>
    <row r="312" spans="1:19" x14ac:dyDescent="0.2">
      <c r="A312" s="56" t="s">
        <v>88</v>
      </c>
      <c r="B312" s="57" t="s">
        <v>682</v>
      </c>
      <c r="C312" s="57" t="s">
        <v>725</v>
      </c>
      <c r="D312" s="57" t="s">
        <v>652</v>
      </c>
      <c r="E312" s="58" t="str">
        <f t="shared" si="33"/>
        <v>s27q208_no_occassions</v>
      </c>
      <c r="F312" s="57" t="str">
        <f>CONCATENATE("&lt;span style='color:blue;'&gt;Giai đoạn gà giò&lt;/span&gt;: Ông/bà dùng  &lt;span style='color:blue;'&gt;${",E305,"}&lt;/span&gt; cho lứa gà gần đây nhất của mình bao nhiêu lần?")</f>
        <v>&lt;span style='color:blue;'&gt;Giai đoạn gà giò&lt;/span&gt;: Ông/bà dùng  &lt;span style='color:blue;'&gt;${s27c2_cur_agvet_finisher_vitamin_name}&lt;/span&gt; cho lứa gà gần đây nhất của mình bao nhiêu lần?</v>
      </c>
      <c r="G312" s="57" t="str">
        <f t="shared" si="34"/>
        <v>S27Q208: &lt;span style='color:blue;'&gt;Giai đoạn gà giò&lt;/span&gt;: Ông/bà dùng  &lt;span style='color:blue;'&gt;${s27c2_cur_agvet_finisher_vitamin_name}&lt;/span&gt; cho lứa gà gần đây nhất của mình bao nhiêu lần?</v>
      </c>
      <c r="H312" s="57"/>
      <c r="I312" s="57" t="s">
        <v>184</v>
      </c>
      <c r="J312" s="57"/>
      <c r="K312" s="57" t="s">
        <v>40</v>
      </c>
      <c r="L312" s="57"/>
      <c r="M312" s="57"/>
      <c r="N312" s="57"/>
      <c r="O312" s="57"/>
      <c r="P312" s="57"/>
      <c r="Q312" s="57"/>
      <c r="R312" s="57"/>
      <c r="S312" s="60"/>
    </row>
    <row r="313" spans="1:19" x14ac:dyDescent="0.2">
      <c r="A313" s="62" t="s">
        <v>74</v>
      </c>
      <c r="C313" s="4" t="s">
        <v>43</v>
      </c>
      <c r="S313" s="63"/>
    </row>
    <row r="314" spans="1:19" x14ac:dyDescent="0.2">
      <c r="A314" s="56" t="s">
        <v>123</v>
      </c>
      <c r="B314" s="57" t="s">
        <v>682</v>
      </c>
      <c r="C314" s="57" t="s">
        <v>43</v>
      </c>
      <c r="D314" s="57" t="s">
        <v>726</v>
      </c>
      <c r="E314" s="58" t="str">
        <f>CONCATENATE(B314,C314,"_",D314)</f>
        <v>s27_rpt_agvet_finisher_vit_occ</v>
      </c>
      <c r="F314" s="57" t="s">
        <v>654</v>
      </c>
      <c r="G314" s="57" t="str">
        <f>CONCATENATE(UPPER(B314),UPPER(C314),": ",F314)</f>
        <v>S27: Chi tiết các lần dùng</v>
      </c>
      <c r="H314" s="57"/>
      <c r="I314" s="57"/>
      <c r="J314" s="57"/>
      <c r="K314" s="57"/>
      <c r="L314" s="57"/>
      <c r="M314" s="57"/>
      <c r="N314" s="57"/>
      <c r="O314" s="57" t="str">
        <f>CONCATENATE("${",E312,"}")</f>
        <v>${s27q208_no_occassions}</v>
      </c>
      <c r="P314" s="57"/>
      <c r="Q314" s="57"/>
      <c r="R314" s="57"/>
      <c r="S314" s="60"/>
    </row>
    <row r="315" spans="1:19" x14ac:dyDescent="0.2">
      <c r="A315" s="71" t="s">
        <v>127</v>
      </c>
      <c r="B315" s="72" t="s">
        <v>655</v>
      </c>
      <c r="C315" s="72" t="s">
        <v>128</v>
      </c>
      <c r="D315" s="57" t="s">
        <v>727</v>
      </c>
      <c r="E315" s="73" t="str">
        <f>CONCATENATE(B315,C315,"_",D315)</f>
        <v>s36c1_cur_rpt_agvet_finisher_vitamin_name</v>
      </c>
      <c r="F315" s="72"/>
      <c r="G315" s="72"/>
      <c r="H315" s="72"/>
      <c r="I315" s="72"/>
      <c r="J315" s="72"/>
      <c r="K315" s="72"/>
      <c r="L315" s="72"/>
      <c r="M315" s="72"/>
      <c r="N315" s="72"/>
      <c r="O315" s="72"/>
      <c r="P315" s="72" t="str">
        <f>CONCATENATE("${",E305,"}")</f>
        <v>${s27c2_cur_agvet_finisher_vitamin_name}</v>
      </c>
      <c r="Q315" s="72"/>
      <c r="R315" s="72"/>
      <c r="S315" s="75"/>
    </row>
    <row r="316" spans="1:19" x14ac:dyDescent="0.2">
      <c r="A316" s="56" t="s">
        <v>127</v>
      </c>
      <c r="B316" s="57" t="s">
        <v>682</v>
      </c>
      <c r="C316" s="57" t="s">
        <v>128</v>
      </c>
      <c r="D316" s="57" t="s">
        <v>728</v>
      </c>
      <c r="E316" s="58" t="str">
        <f>CONCATENATE(B316,C316,"_",D316)</f>
        <v>s27c1_cur_agvet_finisher_vit_occassion</v>
      </c>
      <c r="F316" s="57"/>
      <c r="G316" s="57"/>
      <c r="H316" s="57"/>
      <c r="I316" s="57"/>
      <c r="J316" s="57"/>
      <c r="K316" s="57"/>
      <c r="L316" s="57"/>
      <c r="M316" s="57"/>
      <c r="N316" s="57"/>
      <c r="O316" s="57"/>
      <c r="P316" s="57" t="s">
        <v>658</v>
      </c>
      <c r="Q316" s="57"/>
      <c r="R316" s="57"/>
      <c r="S316" s="60"/>
    </row>
    <row r="317" spans="1:19" x14ac:dyDescent="0.2">
      <c r="A317" s="56" t="s">
        <v>88</v>
      </c>
      <c r="B317" s="57" t="s">
        <v>682</v>
      </c>
      <c r="C317" s="57" t="s">
        <v>729</v>
      </c>
      <c r="D317" s="57" t="s">
        <v>660</v>
      </c>
      <c r="E317" s="58" t="str">
        <f>CONCATENATE(B317,C317,"_",D317)</f>
        <v>s27q209_birds_age</v>
      </c>
      <c r="F317" s="57" t="str">
        <f>CONCATENATE("Ông/bà dùng &lt;span style='color:blue;'&gt;${",E315,"}&lt;/span&gt; the &lt;span style='color:blue;'&gt;${",E316,"}&lt;/span&gt; lần đầu cho đàn gà vào giai đoạn tuổi nào? (Lưu ý: tính theo tuần tuổi)")</f>
        <v>Ông/bà dùng &lt;span style='color:blue;'&gt;${s36c1_cur_rpt_agvet_finisher_vitamin_name}&lt;/span&gt; the &lt;span style='color:blue;'&gt;${s27c1_cur_agvet_finisher_vit_occassion}&lt;/span&gt; lần đầu cho đàn gà vào giai đoạn tuổi nào? (Lưu ý: tính theo tuần tuổi)</v>
      </c>
      <c r="G317" s="57" t="str">
        <f>CONCATENATE(UPPER(B317),UPPER(C317),": ",F317)</f>
        <v>S27Q209: Ông/bà dùng &lt;span style='color:blue;'&gt;${s36c1_cur_rpt_agvet_finisher_vitamin_name}&lt;/span&gt; the &lt;span style='color:blue;'&gt;${s27c1_cur_agvet_finisher_vit_occassion}&lt;/span&gt; lần đầu cho đàn gà vào giai đoạn tuổi nào? (Lưu ý: tính theo tuần tuổi)</v>
      </c>
      <c r="H317" s="57" t="s">
        <v>2420</v>
      </c>
      <c r="I317" s="57" t="s">
        <v>106</v>
      </c>
      <c r="J317" s="57"/>
      <c r="K317" s="57" t="s">
        <v>40</v>
      </c>
      <c r="L317" s="57"/>
      <c r="M317" s="57"/>
      <c r="N317" s="57"/>
      <c r="O317" s="57"/>
      <c r="P317" s="57"/>
      <c r="Q317" s="57"/>
      <c r="R317" s="57"/>
      <c r="S317" s="60"/>
    </row>
    <row r="318" spans="1:19" x14ac:dyDescent="0.2">
      <c r="A318" s="56" t="s">
        <v>88</v>
      </c>
      <c r="B318" s="57" t="s">
        <v>682</v>
      </c>
      <c r="C318" s="57" t="s">
        <v>730</v>
      </c>
      <c r="D318" s="57" t="s">
        <v>598</v>
      </c>
      <c r="E318" s="58" t="str">
        <f>CONCATENATE(B318,C318,"_",D318)</f>
        <v>s27q210_cost</v>
      </c>
      <c r="F318" s="57" t="str">
        <f>CONCATENATE("Chi phí cho &lt;span style='color:blue;'&gt;${",E315,"}&lt;/span&gt; lần đó &lt;span style='color:blue;'&gt;${",E316,"}&lt;/span&gt; là khoảng bao nhiêu?")</f>
        <v>Chi phí cho &lt;span style='color:blue;'&gt;${s36c1_cur_rpt_agvet_finisher_vitamin_name}&lt;/span&gt; lần đó &lt;span style='color:blue;'&gt;${s27c1_cur_agvet_finisher_vit_occassion}&lt;/span&gt; là khoảng bao nhiêu?</v>
      </c>
      <c r="G318" s="57" t="str">
        <f>CONCATENATE(UPPER(B318),UPPER(C318),": ",F318)</f>
        <v>S27Q210: Chi phí cho &lt;span style='color:blue;'&gt;${s36c1_cur_rpt_agvet_finisher_vitamin_name}&lt;/span&gt; lần đó &lt;span style='color:blue;'&gt;${s27c1_cur_agvet_finisher_vit_occassion}&lt;/span&gt; là khoảng bao nhiêu?</v>
      </c>
      <c r="H318" s="57" t="s">
        <v>2421</v>
      </c>
      <c r="I318" s="57" t="s">
        <v>106</v>
      </c>
      <c r="J318" s="57"/>
      <c r="K318" s="57" t="s">
        <v>40</v>
      </c>
      <c r="L318" s="57"/>
      <c r="M318" s="57"/>
      <c r="N318" s="57"/>
      <c r="O318" s="57"/>
      <c r="P318" s="57"/>
      <c r="Q318" s="57"/>
      <c r="R318" s="57"/>
      <c r="S318" s="60"/>
    </row>
    <row r="319" spans="1:19" x14ac:dyDescent="0.2">
      <c r="A319" s="62" t="s">
        <v>147</v>
      </c>
      <c r="C319" s="4" t="s">
        <v>43</v>
      </c>
      <c r="S319" s="63"/>
    </row>
    <row r="320" spans="1:19" ht="12.75" thickBot="1" x14ac:dyDescent="0.25">
      <c r="A320" s="64" t="s">
        <v>147</v>
      </c>
      <c r="B320" s="65"/>
      <c r="C320" s="65" t="s">
        <v>43</v>
      </c>
      <c r="D320" s="65"/>
      <c r="E320" s="65"/>
      <c r="F320" s="65"/>
      <c r="G320" s="65"/>
      <c r="H320" s="65"/>
      <c r="I320" s="65"/>
      <c r="J320" s="65"/>
      <c r="K320" s="65"/>
      <c r="L320" s="65"/>
      <c r="M320" s="65"/>
      <c r="N320" s="65"/>
      <c r="O320" s="65"/>
      <c r="P320" s="65"/>
      <c r="Q320" s="65"/>
      <c r="R320" s="65"/>
      <c r="S320" s="66"/>
    </row>
    <row r="321" spans="1:19" x14ac:dyDescent="0.2">
      <c r="A321" s="25" t="s">
        <v>731</v>
      </c>
      <c r="B321" s="25" t="s">
        <v>732</v>
      </c>
      <c r="C321" s="25" t="s">
        <v>733</v>
      </c>
      <c r="D321" s="25" t="s">
        <v>734</v>
      </c>
      <c r="E321" s="5" t="str">
        <f>CONCATENATE(B321,C321,"_",D321)</f>
        <v>s28q211_commercial_starter</v>
      </c>
      <c r="F321" s="25" t="s">
        <v>2762</v>
      </c>
      <c r="G321" s="25" t="str">
        <f>CONCATENATE(UPPER(B321),UPPER(C321),": ",F321)</f>
        <v>S28Q211: Ông/bà dùng cám công nghiệp cho đàn gà giai đoạn đầu &lt;span style='color:blue;'&gt;Cám công nghiệp cho gà úm&lt;/span&gt; ở lứa gà gần đây nhất, là của công ty nào?</v>
      </c>
      <c r="H321" s="25"/>
      <c r="I321" s="25"/>
      <c r="J321" s="25"/>
      <c r="K321" s="25" t="s">
        <v>40</v>
      </c>
      <c r="L321" s="25"/>
      <c r="M321" s="25" t="str">
        <f>CONCATENATE("selected(${",E225,"},'commercial')")</f>
        <v>selected(${s25q158_feed_type},'commercial')</v>
      </c>
      <c r="N321" s="25"/>
      <c r="O321" s="25"/>
      <c r="P321" s="25"/>
      <c r="Q321" s="25"/>
      <c r="R321" s="25"/>
      <c r="S321" s="25"/>
    </row>
    <row r="322" spans="1:19" x14ac:dyDescent="0.2">
      <c r="A322" s="25" t="s">
        <v>123</v>
      </c>
      <c r="B322" s="25" t="s">
        <v>732</v>
      </c>
      <c r="C322" s="25" t="s">
        <v>43</v>
      </c>
      <c r="D322" s="25" t="s">
        <v>735</v>
      </c>
      <c r="E322" s="5" t="str">
        <f>CONCATENATE(B322,C322,"_",D322)</f>
        <v>s28_rpt_comm_starter</v>
      </c>
      <c r="F322" s="25" t="s">
        <v>2417</v>
      </c>
      <c r="G322" s="25" t="str">
        <f>CONCATENATE(UPPER(B322),UPPER(C322),": ",F322)</f>
        <v>S28: Cám công nghiệp cho gà úm</v>
      </c>
      <c r="H322" s="25"/>
      <c r="I322" s="25"/>
      <c r="J322" s="25"/>
      <c r="K322" s="25"/>
      <c r="L322" s="25"/>
      <c r="M322" s="25" t="str">
        <f>CONCATENATE("selected(${",E225,"},'commercial')")</f>
        <v>selected(${s25q158_feed_type},'commercial')</v>
      </c>
      <c r="N322" s="25"/>
      <c r="O322" s="34" t="str">
        <f>CONCATENATE("count-selected(${",E321,"})")</f>
        <v>count-selected(${s28q211_commercial_starter})</v>
      </c>
      <c r="P322" s="25"/>
      <c r="Q322" s="25"/>
      <c r="R322" s="25"/>
      <c r="S322" s="25"/>
    </row>
    <row r="323" spans="1:19" x14ac:dyDescent="0.2">
      <c r="A323" s="25" t="s">
        <v>127</v>
      </c>
      <c r="B323" s="25" t="s">
        <v>732</v>
      </c>
      <c r="C323" s="25" t="s">
        <v>128</v>
      </c>
      <c r="D323" s="25" t="s">
        <v>736</v>
      </c>
      <c r="E323" s="5" t="str">
        <f t="shared" ref="E323:E330" si="35">CONCATENATE(B323,C323,"_",D323)</f>
        <v>s28c1_cur_starter</v>
      </c>
      <c r="F323" s="25"/>
      <c r="G323" s="25"/>
      <c r="H323" s="25"/>
      <c r="I323" s="25"/>
      <c r="J323" s="25"/>
      <c r="K323" s="25"/>
      <c r="L323" s="25"/>
      <c r="M323" s="25"/>
      <c r="N323" s="25"/>
      <c r="O323" s="25"/>
      <c r="P323" s="35" t="str">
        <f>CONCATENATE("selected-at(${",E321,"}, position(..)-1)")</f>
        <v>selected-at(${s28q211_commercial_starter}, position(..)-1)</v>
      </c>
      <c r="Q323" s="25"/>
      <c r="R323" s="25"/>
      <c r="S323" s="25"/>
    </row>
    <row r="324" spans="1:19" x14ac:dyDescent="0.2">
      <c r="A324" s="25" t="s">
        <v>127</v>
      </c>
      <c r="B324" s="25" t="s">
        <v>732</v>
      </c>
      <c r="C324" s="25" t="s">
        <v>130</v>
      </c>
      <c r="D324" s="25" t="s">
        <v>737</v>
      </c>
      <c r="E324" s="5" t="str">
        <f t="shared" si="35"/>
        <v>s28c2_cur_starter_name</v>
      </c>
      <c r="F324" s="25"/>
      <c r="G324" s="25"/>
      <c r="H324" s="25"/>
      <c r="I324" s="25"/>
      <c r="J324" s="25"/>
      <c r="K324" s="25"/>
      <c r="L324" s="25"/>
      <c r="M324" s="25"/>
      <c r="N324" s="25"/>
      <c r="O324" s="25"/>
      <c r="P324" s="35" t="str">
        <f>CONCATENATE("if(string-length(../",E323,") != 0,jr:choice-name(${",E323,"},'${",E321,"}'),'unknown')")</f>
        <v>if(string-length(../s28c1_cur_starter) != 0,jr:choice-name(${s28c1_cur_starter},'${s28q211_commercial_starter}'),'unknown')</v>
      </c>
      <c r="Q324" s="25"/>
      <c r="R324" s="25"/>
      <c r="S324" s="25"/>
    </row>
    <row r="325" spans="1:19" x14ac:dyDescent="0.2">
      <c r="A325" s="25" t="s">
        <v>41</v>
      </c>
      <c r="B325" s="25" t="s">
        <v>732</v>
      </c>
      <c r="C325" s="25" t="s">
        <v>43</v>
      </c>
      <c r="D325" s="25" t="s">
        <v>738</v>
      </c>
      <c r="E325" s="5" t="str">
        <f>CONCATENATE(B325,C325,"_",D325)</f>
        <v>s28_grp_comm_starter_details</v>
      </c>
      <c r="F325" s="25" t="s">
        <v>2423</v>
      </c>
      <c r="G325" s="25" t="str">
        <f t="shared" ref="G325:G330" si="36">CONCATENATE(UPPER(B325),UPPER(C325),": ",F325)</f>
        <v>S28: Câu hỏi cụ thể về nhãn hiệu cám</v>
      </c>
      <c r="H325" s="25"/>
      <c r="I325" s="25"/>
      <c r="J325" s="25"/>
      <c r="K325" s="25"/>
      <c r="L325" s="25"/>
      <c r="M325" s="25"/>
      <c r="N325" s="25"/>
      <c r="O325" s="25"/>
      <c r="P325" s="25"/>
      <c r="Q325" s="25"/>
      <c r="R325" s="25"/>
      <c r="S325" s="25"/>
    </row>
    <row r="326" spans="1:19" x14ac:dyDescent="0.2">
      <c r="A326" s="25" t="s">
        <v>88</v>
      </c>
      <c r="B326" s="25" t="s">
        <v>732</v>
      </c>
      <c r="C326" s="25" t="s">
        <v>739</v>
      </c>
      <c r="D326" s="25" t="s">
        <v>740</v>
      </c>
      <c r="E326" s="5" t="str">
        <f t="shared" si="35"/>
        <v>s28q212_comm_no_starter</v>
      </c>
      <c r="F326" s="25" t="str">
        <f>CONCATENATE("&lt;span style='color:blue;'&gt;${",E324,"} - Cám công nghiệp cho gà úm&lt;/span&gt;: Ông/bà sử dụng tổng số bao nhiêu bao thức ăn giai đoạn úm cho lứa gà gần đây nhất (tính theo bao nguyên)?")</f>
        <v>&lt;span style='color:blue;'&gt;${s28c2_cur_starter_name} - Cám công nghiệp cho gà úm&lt;/span&gt;: Ông/bà sử dụng tổng số bao nhiêu bao thức ăn giai đoạn úm cho lứa gà gần đây nhất (tính theo bao nguyên)?</v>
      </c>
      <c r="G326" s="25" t="str">
        <f t="shared" si="36"/>
        <v>S28Q212: &lt;span style='color:blue;'&gt;${s28c2_cur_starter_name} - Cám công nghiệp cho gà úm&lt;/span&gt;: Ông/bà sử dụng tổng số bao nhiêu bao thức ăn giai đoạn úm cho lứa gà gần đây nhất (tính theo bao nguyên)?</v>
      </c>
      <c r="H326" s="25"/>
      <c r="I326" s="25" t="s">
        <v>106</v>
      </c>
      <c r="J326" s="25"/>
      <c r="K326" s="25" t="s">
        <v>40</v>
      </c>
      <c r="L326" s="25"/>
      <c r="M326" s="25"/>
      <c r="N326" s="25"/>
      <c r="O326" s="25"/>
      <c r="P326" s="25"/>
      <c r="Q326" s="25"/>
      <c r="R326" s="25"/>
      <c r="S326" s="25"/>
    </row>
    <row r="327" spans="1:19" x14ac:dyDescent="0.2">
      <c r="A327" s="25" t="s">
        <v>88</v>
      </c>
      <c r="B327" s="25" t="s">
        <v>732</v>
      </c>
      <c r="C327" s="25" t="s">
        <v>741</v>
      </c>
      <c r="D327" s="25" t="s">
        <v>742</v>
      </c>
      <c r="E327" s="5" t="str">
        <f t="shared" si="35"/>
        <v>s28q213_comm_starter_weight</v>
      </c>
      <c r="F327" s="25" t="str">
        <f>CONCATENATE("&lt;span style='color:blue;'&gt;${",E324,"} - Cám công nghiệp cho gà úm&lt;/span&gt;: Mỗi bao đó là bao nhiêu kilogram?")</f>
        <v>&lt;span style='color:blue;'&gt;${s28c2_cur_starter_name} - Cám công nghiệp cho gà úm&lt;/span&gt;: Mỗi bao đó là bao nhiêu kilogram?</v>
      </c>
      <c r="G327" s="25" t="str">
        <f t="shared" si="36"/>
        <v>S28Q213: &lt;span style='color:blue;'&gt;${s28c2_cur_starter_name} - Cám công nghiệp cho gà úm&lt;/span&gt;: Mỗi bao đó là bao nhiêu kilogram?</v>
      </c>
      <c r="H327" s="25" t="s">
        <v>2769</v>
      </c>
      <c r="I327" s="25" t="s">
        <v>106</v>
      </c>
      <c r="J327" s="25"/>
      <c r="K327" s="25" t="s">
        <v>40</v>
      </c>
      <c r="L327" s="25"/>
      <c r="M327" s="25"/>
      <c r="N327" s="25"/>
      <c r="O327" s="25"/>
      <c r="P327" s="25"/>
      <c r="Q327" s="25"/>
      <c r="R327" s="25"/>
      <c r="S327" s="25"/>
    </row>
    <row r="328" spans="1:19" x14ac:dyDescent="0.2">
      <c r="A328" s="25" t="s">
        <v>88</v>
      </c>
      <c r="B328" s="25" t="s">
        <v>732</v>
      </c>
      <c r="C328" s="25" t="s">
        <v>743</v>
      </c>
      <c r="D328" s="25" t="s">
        <v>744</v>
      </c>
      <c r="E328" s="5" t="str">
        <f t="shared" si="35"/>
        <v>s28q214_comm_starter_cost</v>
      </c>
      <c r="F328" s="25" t="str">
        <f>CONCATENATE("&lt;span style='color:blue;'&gt;${",E324,"} - Cám công nghiệp cho gà úm&lt;/span&gt;: Giá một bao đó là bao nhiêu tiền?")</f>
        <v>&lt;span style='color:blue;'&gt;${s28c2_cur_starter_name} - Cám công nghiệp cho gà úm&lt;/span&gt;: Giá một bao đó là bao nhiêu tiền?</v>
      </c>
      <c r="G328" s="25" t="str">
        <f t="shared" si="36"/>
        <v>S28Q214: &lt;span style='color:blue;'&gt;${s28c2_cur_starter_name} - Cám công nghiệp cho gà úm&lt;/span&gt;: Giá một bao đó là bao nhiêu tiền?</v>
      </c>
      <c r="H328" s="25"/>
      <c r="I328" s="25" t="s">
        <v>106</v>
      </c>
      <c r="J328" s="25"/>
      <c r="K328" s="25" t="s">
        <v>40</v>
      </c>
      <c r="L328" s="25"/>
      <c r="M328" s="25"/>
      <c r="N328" s="25"/>
      <c r="O328" s="25"/>
      <c r="P328" s="25"/>
      <c r="Q328" s="25"/>
      <c r="R328" s="25"/>
      <c r="S328" s="25"/>
    </row>
    <row r="329" spans="1:19" x14ac:dyDescent="0.2">
      <c r="A329" s="25" t="s">
        <v>612</v>
      </c>
      <c r="B329" s="25" t="s">
        <v>732</v>
      </c>
      <c r="C329" s="25" t="s">
        <v>745</v>
      </c>
      <c r="D329" s="25" t="s">
        <v>746</v>
      </c>
      <c r="E329" s="5" t="str">
        <f t="shared" si="35"/>
        <v>s28q215_comm_starter_reason</v>
      </c>
      <c r="F329" s="25" t="str">
        <f>CONCATENATE("&lt;span style='color:blue;'&gt;${",E324,"} - Cám công nghiệp cho gà úm&lt;/span&gt;: Tại sao ông/bà chọn sử dụng loại thức ăn này?")</f>
        <v>&lt;span style='color:blue;'&gt;${s28c2_cur_starter_name} - Cám công nghiệp cho gà úm&lt;/span&gt;: Tại sao ông/bà chọn sử dụng loại thức ăn này?</v>
      </c>
      <c r="G329" s="25" t="str">
        <f t="shared" si="36"/>
        <v>S28Q215: &lt;span style='color:blue;'&gt;${s28c2_cur_starter_name} - Cám công nghiệp cho gà úm&lt;/span&gt;: Tại sao ông/bà chọn sử dụng loại thức ăn này?</v>
      </c>
      <c r="H329" s="25" t="s">
        <v>2770</v>
      </c>
      <c r="I329" s="25"/>
      <c r="J329" s="25"/>
      <c r="K329" s="25" t="s">
        <v>40</v>
      </c>
      <c r="L329" s="25"/>
      <c r="M329" s="25"/>
      <c r="N329" s="25"/>
      <c r="O329" s="25"/>
      <c r="P329" s="25"/>
      <c r="Q329" s="25"/>
      <c r="R329" s="25"/>
      <c r="S329" s="25"/>
    </row>
    <row r="330" spans="1:19" x14ac:dyDescent="0.2">
      <c r="A330" s="25" t="s">
        <v>616</v>
      </c>
      <c r="B330" s="25" t="s">
        <v>732</v>
      </c>
      <c r="C330" s="25" t="s">
        <v>747</v>
      </c>
      <c r="D330" s="25" t="s">
        <v>748</v>
      </c>
      <c r="E330" s="5" t="str">
        <f t="shared" si="35"/>
        <v>s28q216_comm_starter_addons</v>
      </c>
      <c r="F330" s="25" t="str">
        <f>CONCATENATE("&lt;span style='color:blue;'&gt;${",E324,"} - Cám công nghiệp cho gà úm&lt;/span&gt;: Ông/bà có trộn bổ sung thành phần nào khác vào thức ăn không?")</f>
        <v>&lt;span style='color:blue;'&gt;${s28c2_cur_starter_name} - Cám công nghiệp cho gà úm&lt;/span&gt;: Ông/bà có trộn bổ sung thành phần nào khác vào thức ăn không?</v>
      </c>
      <c r="G330" s="25" t="str">
        <f t="shared" si="36"/>
        <v>S28Q216: &lt;span style='color:blue;'&gt;${s28c2_cur_starter_name} - Cám công nghiệp cho gà úm&lt;/span&gt;: Ông/bà có trộn bổ sung thành phần nào khác vào thức ăn không?</v>
      </c>
      <c r="H330" s="25"/>
      <c r="I330" s="25" t="s">
        <v>382</v>
      </c>
      <c r="J330" s="25" t="s">
        <v>383</v>
      </c>
      <c r="K330" s="25" t="s">
        <v>40</v>
      </c>
      <c r="L330" s="25"/>
      <c r="M330" s="25"/>
      <c r="N330" s="25"/>
      <c r="O330" s="25"/>
      <c r="P330" s="25"/>
      <c r="Q330" s="25"/>
      <c r="R330" s="25"/>
      <c r="S330" s="25"/>
    </row>
    <row r="331" spans="1:19" ht="12.75" thickBot="1" x14ac:dyDescent="0.25">
      <c r="A331" s="4" t="s">
        <v>74</v>
      </c>
      <c r="C331" s="4" t="s">
        <v>43</v>
      </c>
    </row>
    <row r="332" spans="1:19" x14ac:dyDescent="0.2">
      <c r="A332" s="67" t="s">
        <v>619</v>
      </c>
      <c r="B332" s="68" t="s">
        <v>732</v>
      </c>
      <c r="C332" s="68" t="s">
        <v>749</v>
      </c>
      <c r="D332" s="68" t="s">
        <v>750</v>
      </c>
      <c r="E332" s="69" t="str">
        <f t="shared" ref="E332:E338" si="37">CONCATENATE(B332,C332,"_",D332)</f>
        <v>s28q217_antibiotics</v>
      </c>
      <c r="F332" s="68" t="s">
        <v>2412</v>
      </c>
      <c r="G332" s="68" t="str">
        <f>CONCATENATE(UPPER(B332),UPPER(C332),": ",F332)</f>
        <v xml:space="preserve">S28Q217: Ông/bà trộn loại kháng sinh gì? </v>
      </c>
      <c r="H332" s="68"/>
      <c r="I332" s="68"/>
      <c r="J332" s="68"/>
      <c r="K332" s="68" t="s">
        <v>40</v>
      </c>
      <c r="L332" s="68" t="s">
        <v>624</v>
      </c>
      <c r="M332" s="68" t="str">
        <f>CONCATENATE("selected(${",E330,"},'antibiotic')")</f>
        <v>selected(${s28q216_comm_starter_addons},'antibiotic')</v>
      </c>
      <c r="N332" s="68"/>
      <c r="O332" s="68"/>
      <c r="P332" s="68"/>
      <c r="Q332" s="68"/>
      <c r="R332" s="68"/>
      <c r="S332" s="70"/>
    </row>
    <row r="333" spans="1:19" x14ac:dyDescent="0.2">
      <c r="A333" s="71" t="s">
        <v>123</v>
      </c>
      <c r="B333" s="72" t="s">
        <v>732</v>
      </c>
      <c r="C333" s="72" t="s">
        <v>43</v>
      </c>
      <c r="D333" s="72" t="s">
        <v>751</v>
      </c>
      <c r="E333" s="73" t="str">
        <f t="shared" si="37"/>
        <v>s28_rpt_comm_starter_abs</v>
      </c>
      <c r="F333" s="72" t="s">
        <v>2414</v>
      </c>
      <c r="G333" s="72" t="str">
        <f>CONCATENATE(UPPER(B333),UPPER(C333),": ",F333)</f>
        <v>S28: Thuốc kháng sinh</v>
      </c>
      <c r="H333" s="72"/>
      <c r="I333" s="72"/>
      <c r="J333" s="72"/>
      <c r="K333" s="72"/>
      <c r="L333" s="72"/>
      <c r="M333" s="72" t="str">
        <f>CONCATENATE("selected(${",E330,"},'antibiotic')")</f>
        <v>selected(${s28q216_comm_starter_addons},'antibiotic')</v>
      </c>
      <c r="N333" s="72"/>
      <c r="O333" s="74" t="str">
        <f>CONCATENATE("count-selected(${",E332,"})")</f>
        <v>count-selected(${s28q217_antibiotics})</v>
      </c>
      <c r="P333" s="72"/>
      <c r="Q333" s="72"/>
      <c r="R333" s="72"/>
      <c r="S333" s="75"/>
    </row>
    <row r="334" spans="1:19" x14ac:dyDescent="0.2">
      <c r="A334" s="71" t="s">
        <v>127</v>
      </c>
      <c r="B334" s="72" t="s">
        <v>732</v>
      </c>
      <c r="C334" s="72" t="s">
        <v>128</v>
      </c>
      <c r="D334" s="72" t="s">
        <v>752</v>
      </c>
      <c r="E334" s="73" t="str">
        <f t="shared" si="37"/>
        <v>s28c1_cur_comm_starter_ab</v>
      </c>
      <c r="F334" s="72"/>
      <c r="G334" s="72"/>
      <c r="H334" s="72"/>
      <c r="I334" s="72"/>
      <c r="J334" s="72"/>
      <c r="K334" s="72"/>
      <c r="L334" s="72"/>
      <c r="M334" s="72"/>
      <c r="N334" s="72"/>
      <c r="O334" s="72"/>
      <c r="P334" s="76" t="str">
        <f>CONCATENATE("selected-at(${",E332,"}, position(..)-1)")</f>
        <v>selected-at(${s28q217_antibiotics}, position(..)-1)</v>
      </c>
      <c r="Q334" s="72"/>
      <c r="R334" s="72"/>
      <c r="S334" s="75"/>
    </row>
    <row r="335" spans="1:19" x14ac:dyDescent="0.2">
      <c r="A335" s="71" t="s">
        <v>127</v>
      </c>
      <c r="B335" s="72" t="s">
        <v>732</v>
      </c>
      <c r="C335" s="72" t="s">
        <v>130</v>
      </c>
      <c r="D335" s="72" t="s">
        <v>753</v>
      </c>
      <c r="E335" s="73" t="str">
        <f t="shared" si="37"/>
        <v>s28c2_cur_comm_starter_ab_name</v>
      </c>
      <c r="F335" s="72"/>
      <c r="G335" s="72"/>
      <c r="H335" s="72"/>
      <c r="I335" s="72"/>
      <c r="J335" s="72"/>
      <c r="K335" s="72"/>
      <c r="L335" s="72"/>
      <c r="M335" s="72"/>
      <c r="N335" s="72"/>
      <c r="O335" s="72"/>
      <c r="P335" s="76" t="str">
        <f>CONCATENATE("if(string-length(../",E334,") != 0,jr:choice-name(${",E334,"},'${",E332,"}'),'unknown')")</f>
        <v>if(string-length(../s28c1_cur_comm_starter_ab) != 0,jr:choice-name(${s28c1_cur_comm_starter_ab},'${s28q217_antibiotics}'),'unknown')</v>
      </c>
      <c r="Q335" s="72"/>
      <c r="R335" s="72"/>
      <c r="S335" s="75"/>
    </row>
    <row r="336" spans="1:19" x14ac:dyDescent="0.2">
      <c r="A336" s="71" t="s">
        <v>41</v>
      </c>
      <c r="B336" s="72" t="s">
        <v>732</v>
      </c>
      <c r="C336" s="72" t="s">
        <v>43</v>
      </c>
      <c r="D336" s="72" t="s">
        <v>754</v>
      </c>
      <c r="E336" s="73" t="str">
        <f t="shared" si="37"/>
        <v>s28_grp_comm_starter_abs</v>
      </c>
      <c r="F336" s="72" t="s">
        <v>2413</v>
      </c>
      <c r="G336" s="72" t="str">
        <f>CONCATENATE(UPPER(B336),UPPER(C336),": ",F336)</f>
        <v>S28: Thông tin chi tiết về thuốc kháng sinh</v>
      </c>
      <c r="H336" s="72"/>
      <c r="I336" s="72"/>
      <c r="J336" s="72"/>
      <c r="K336" s="72"/>
      <c r="L336" s="72"/>
      <c r="M336" s="72"/>
      <c r="N336" s="72"/>
      <c r="O336" s="74"/>
      <c r="P336" s="72"/>
      <c r="Q336" s="72"/>
      <c r="R336" s="72"/>
      <c r="S336" s="75"/>
    </row>
    <row r="337" spans="1:19" x14ac:dyDescent="0.2">
      <c r="A337" s="72" t="s">
        <v>628</v>
      </c>
      <c r="B337" s="72" t="s">
        <v>732</v>
      </c>
      <c r="C337" s="72" t="s">
        <v>755</v>
      </c>
      <c r="D337" s="72" t="s">
        <v>630</v>
      </c>
      <c r="E337" s="73" t="str">
        <f t="shared" si="37"/>
        <v>s28q218_how_ab_combined</v>
      </c>
      <c r="F337" s="72" t="str">
        <f>CONCATENATE("Loại &lt;span style='color:blue;'&gt;${",E335,"}&lt;/span&gt; là ở dạng đơn hay ở dạng hỗn hợp với các loại kháng sinh khác?")</f>
        <v>Loại &lt;span style='color:blue;'&gt;${s28c2_cur_comm_starter_ab_name}&lt;/span&gt; là ở dạng đơn hay ở dạng hỗn hợp với các loại kháng sinh khác?</v>
      </c>
      <c r="G337" s="72" t="str">
        <f>CONCATENATE(UPPER(B337),UPPER(C337),": ",F337)</f>
        <v>S28Q218: Loại &lt;span style='color:blue;'&gt;${s28c2_cur_comm_starter_ab_name}&lt;/span&gt; là ở dạng đơn hay ở dạng hỗn hợp với các loại kháng sinh khác?</v>
      </c>
      <c r="H337" s="72"/>
      <c r="I337" s="72"/>
      <c r="J337" s="72"/>
      <c r="K337" s="72" t="s">
        <v>40</v>
      </c>
      <c r="L337" s="72" t="s">
        <v>50</v>
      </c>
      <c r="M337" s="72"/>
      <c r="N337" s="72"/>
      <c r="O337" s="72"/>
      <c r="P337" s="72"/>
      <c r="Q337" s="72"/>
      <c r="R337" s="72"/>
      <c r="S337" s="72"/>
    </row>
    <row r="338" spans="1:19" x14ac:dyDescent="0.2">
      <c r="A338" s="72" t="s">
        <v>619</v>
      </c>
      <c r="B338" s="72" t="s">
        <v>732</v>
      </c>
      <c r="C338" s="72" t="s">
        <v>756</v>
      </c>
      <c r="D338" s="72" t="s">
        <v>632</v>
      </c>
      <c r="E338" s="73" t="str">
        <f t="shared" si="37"/>
        <v>s28q219_ab_combined</v>
      </c>
      <c r="F338" s="72" t="str">
        <f>CONCATENATE("Chọn loại kháng sinh phối/hỗn hợp cùng với &lt;span style='color:blue;'&gt;${",E335,"}&lt;/span&gt;")</f>
        <v>Chọn loại kháng sinh phối/hỗn hợp cùng với &lt;span style='color:blue;'&gt;${s28c2_cur_comm_starter_ab_name}&lt;/span&gt;</v>
      </c>
      <c r="G338" s="72" t="str">
        <f>CONCATENATE(UPPER(B338),UPPER(C338),": ",F338)</f>
        <v>S28Q219: Chọn loại kháng sinh phối/hỗn hợp cùng với &lt;span style='color:blue;'&gt;${s28c2_cur_comm_starter_ab_name}&lt;/span&gt;</v>
      </c>
      <c r="H338" s="72"/>
      <c r="I338" s="72"/>
      <c r="J338" s="72"/>
      <c r="K338" s="72" t="s">
        <v>40</v>
      </c>
      <c r="L338" s="72"/>
      <c r="M338" s="72" t="str">
        <f>CONCATENATE("selected(${",E337,"},'combined')")</f>
        <v>selected(${s28q218_how_ab_combined},'combined')</v>
      </c>
      <c r="N338" s="72"/>
      <c r="O338" s="72"/>
      <c r="P338" s="72"/>
      <c r="Q338" s="72"/>
      <c r="R338" s="72"/>
      <c r="S338" s="72"/>
    </row>
    <row r="339" spans="1:19" x14ac:dyDescent="0.2">
      <c r="A339" s="71" t="s">
        <v>633</v>
      </c>
      <c r="B339" s="72" t="s">
        <v>732</v>
      </c>
      <c r="C339" s="72" t="s">
        <v>757</v>
      </c>
      <c r="D339" s="72" t="s">
        <v>635</v>
      </c>
      <c r="E339" s="73" t="str">
        <f t="shared" ref="E339:E344" si="38">CONCATENATE(B339,C339,"_",D339)</f>
        <v>s28q220_purpose</v>
      </c>
      <c r="F339" s="72" t="str">
        <f>CONCATENATE("Ông/bà dùng &lt;span style='color:blue;'&gt;${",E335,"}&lt;/span&gt; cho mục đích gì?")</f>
        <v>Ông/bà dùng &lt;span style='color:blue;'&gt;${s28c2_cur_comm_starter_ab_name}&lt;/span&gt; cho mục đích gì?</v>
      </c>
      <c r="G339" s="72" t="str">
        <f t="shared" ref="G339:G344" si="39">CONCATENATE(UPPER(B339),UPPER(C339),": ",F339)</f>
        <v>S28Q220: Ông/bà dùng &lt;span style='color:blue;'&gt;${s28c2_cur_comm_starter_ab_name}&lt;/span&gt; cho mục đích gì?</v>
      </c>
      <c r="H339" s="72"/>
      <c r="I339" s="72"/>
      <c r="J339" s="72"/>
      <c r="K339" s="72" t="s">
        <v>40</v>
      </c>
      <c r="L339" s="72"/>
      <c r="M339" s="72"/>
      <c r="N339" s="72"/>
      <c r="O339" s="72"/>
      <c r="P339" s="72"/>
      <c r="Q339" s="72"/>
      <c r="R339" s="72"/>
      <c r="S339" s="75"/>
    </row>
    <row r="340" spans="1:19" x14ac:dyDescent="0.2">
      <c r="A340" s="71" t="s">
        <v>636</v>
      </c>
      <c r="B340" s="72" t="s">
        <v>732</v>
      </c>
      <c r="C340" s="72" t="s">
        <v>758</v>
      </c>
      <c r="D340" s="72" t="s">
        <v>638</v>
      </c>
      <c r="E340" s="73" t="str">
        <f t="shared" si="38"/>
        <v>s28q221_use_reason</v>
      </c>
      <c r="F340" s="72" t="str">
        <f>CONCATENATE("Vì sao ông/bà quyết định sử dụng loại &lt;span style='color:blue;'&gt;${",E335,"}&lt;/span&gt; này?")</f>
        <v>Vì sao ông/bà quyết định sử dụng loại &lt;span style='color:blue;'&gt;${s28c2_cur_comm_starter_ab_name}&lt;/span&gt; này?</v>
      </c>
      <c r="G340" s="72" t="str">
        <f t="shared" si="39"/>
        <v>S28Q221: Vì sao ông/bà quyết định sử dụng loại &lt;span style='color:blue;'&gt;${s28c2_cur_comm_starter_ab_name}&lt;/span&gt; này?</v>
      </c>
      <c r="H340" s="72"/>
      <c r="I340" s="72"/>
      <c r="J340" s="72"/>
      <c r="K340" s="72" t="s">
        <v>40</v>
      </c>
      <c r="L340" s="72"/>
      <c r="M340" s="72"/>
      <c r="N340" s="72"/>
      <c r="O340" s="72"/>
      <c r="P340" s="72"/>
      <c r="Q340" s="72"/>
      <c r="R340" s="72"/>
      <c r="S340" s="75"/>
    </row>
    <row r="341" spans="1:19" x14ac:dyDescent="0.2">
      <c r="A341" s="71" t="s">
        <v>639</v>
      </c>
      <c r="B341" s="72" t="s">
        <v>732</v>
      </c>
      <c r="C341" s="72" t="s">
        <v>759</v>
      </c>
      <c r="D341" s="72" t="s">
        <v>641</v>
      </c>
      <c r="E341" s="73" t="str">
        <f t="shared" si="38"/>
        <v>s28q222_source</v>
      </c>
      <c r="F341" s="72" t="str">
        <f>CONCATENATE("Ông/bà mua&lt;span style='color:blue;'&gt;${",E335,"}&lt;/span&gt; đó ở đâu?")</f>
        <v>Ông/bà mua&lt;span style='color:blue;'&gt;${s28c2_cur_comm_starter_ab_name}&lt;/span&gt; đó ở đâu?</v>
      </c>
      <c r="G341" s="72" t="str">
        <f t="shared" si="39"/>
        <v>S28Q222: Ông/bà mua&lt;span style='color:blue;'&gt;${s28c2_cur_comm_starter_ab_name}&lt;/span&gt; đó ở đâu?</v>
      </c>
      <c r="H341" s="72"/>
      <c r="I341" s="72"/>
      <c r="J341" s="72"/>
      <c r="K341" s="72" t="s">
        <v>40</v>
      </c>
      <c r="L341" s="72"/>
      <c r="M341" s="72"/>
      <c r="N341" s="72"/>
      <c r="O341" s="72"/>
      <c r="P341" s="72"/>
      <c r="Q341" s="72"/>
      <c r="R341" s="72"/>
      <c r="S341" s="75"/>
    </row>
    <row r="342" spans="1:19" x14ac:dyDescent="0.2">
      <c r="A342" s="71" t="s">
        <v>645</v>
      </c>
      <c r="B342" s="72" t="s">
        <v>732</v>
      </c>
      <c r="C342" s="72" t="s">
        <v>760</v>
      </c>
      <c r="D342" s="72" t="s">
        <v>647</v>
      </c>
      <c r="E342" s="73" t="str">
        <f t="shared" si="38"/>
        <v>s28q223_who_admin</v>
      </c>
      <c r="F342" s="72" t="str">
        <f>CONCATENATE("Ai là người dùng/trộn/tiêm &lt;span style='color:blue;'&gt;${",E335,"}&lt;/span&gt; đó cho đàn gà?")</f>
        <v>Ai là người dùng/trộn/tiêm &lt;span style='color:blue;'&gt;${s28c2_cur_comm_starter_ab_name}&lt;/span&gt; đó cho đàn gà?</v>
      </c>
      <c r="G342" s="72" t="str">
        <f t="shared" si="39"/>
        <v>S28Q223: Ai là người dùng/trộn/tiêm &lt;span style='color:blue;'&gt;${s28c2_cur_comm_starter_ab_name}&lt;/span&gt; đó cho đàn gà?</v>
      </c>
      <c r="H342" s="72"/>
      <c r="I342" s="72"/>
      <c r="J342" s="72"/>
      <c r="K342" s="72" t="s">
        <v>40</v>
      </c>
      <c r="L342" s="72"/>
      <c r="M342" s="72"/>
      <c r="N342" s="72"/>
      <c r="O342" s="72"/>
      <c r="P342" s="72"/>
      <c r="Q342" s="72"/>
      <c r="R342" s="72"/>
      <c r="S342" s="75"/>
    </row>
    <row r="343" spans="1:19" x14ac:dyDescent="0.2">
      <c r="A343" s="71" t="s">
        <v>648</v>
      </c>
      <c r="B343" s="72" t="s">
        <v>732</v>
      </c>
      <c r="C343" s="72" t="s">
        <v>761</v>
      </c>
      <c r="D343" s="72" t="s">
        <v>650</v>
      </c>
      <c r="E343" s="73" t="str">
        <f t="shared" si="38"/>
        <v>s28q224_how_knowhow</v>
      </c>
      <c r="F343" s="72" t="str">
        <f>CONCATENATE("Làm thế nào ông/bà hay họ biết cách sử dụng loại &lt;span style='color:blue;'&gt;${",E335,"}&lt;/span&gt; đó?")</f>
        <v>Làm thế nào ông/bà hay họ biết cách sử dụng loại &lt;span style='color:blue;'&gt;${s28c2_cur_comm_starter_ab_name}&lt;/span&gt; đó?</v>
      </c>
      <c r="G343" s="72" t="str">
        <f t="shared" si="39"/>
        <v>S28Q224: Làm thế nào ông/bà hay họ biết cách sử dụng loại &lt;span style='color:blue;'&gt;${s28c2_cur_comm_starter_ab_name}&lt;/span&gt; đó?</v>
      </c>
      <c r="H343" s="72"/>
      <c r="I343" s="72"/>
      <c r="J343" s="72"/>
      <c r="K343" s="72" t="s">
        <v>40</v>
      </c>
      <c r="L343" s="72"/>
      <c r="M343" s="72" t="str">
        <f>CONCATENATE("selected(${",E342,"},'myself') or selected(${",E342,"},'farm_worker') or selected(${",E342,"},'friends')")</f>
        <v>selected(${s28q223_who_admin},'myself') or selected(${s28q223_who_admin},'farm_worker') or selected(${s28q223_who_admin},'friends')</v>
      </c>
      <c r="N343" s="72"/>
      <c r="O343" s="72"/>
      <c r="P343" s="72"/>
      <c r="Q343" s="72"/>
      <c r="R343" s="72"/>
      <c r="S343" s="75"/>
    </row>
    <row r="344" spans="1:19" x14ac:dyDescent="0.2">
      <c r="A344" s="71" t="s">
        <v>88</v>
      </c>
      <c r="B344" s="72" t="s">
        <v>732</v>
      </c>
      <c r="C344" s="72" t="s">
        <v>762</v>
      </c>
      <c r="D344" s="72" t="s">
        <v>652</v>
      </c>
      <c r="E344" s="73" t="str">
        <f t="shared" si="38"/>
        <v>s28q225_no_occassions</v>
      </c>
      <c r="F344" s="72" t="str">
        <f>CONCATENATE("Ông/bà dùng &lt;span style='color:blue;'&gt;${",E335,"}&lt;/span&gt; cho đàn gà của mình bao nhiêu lần?")</f>
        <v>Ông/bà dùng &lt;span style='color:blue;'&gt;${s28c2_cur_comm_starter_ab_name}&lt;/span&gt; cho đàn gà của mình bao nhiêu lần?</v>
      </c>
      <c r="G344" s="72" t="str">
        <f t="shared" si="39"/>
        <v>S28Q225: Ông/bà dùng &lt;span style='color:blue;'&gt;${s28c2_cur_comm_starter_ab_name}&lt;/span&gt; cho đàn gà của mình bao nhiêu lần?</v>
      </c>
      <c r="H344" s="72"/>
      <c r="I344" s="72" t="s">
        <v>184</v>
      </c>
      <c r="J344" s="72"/>
      <c r="K344" s="72" t="s">
        <v>40</v>
      </c>
      <c r="L344" s="72"/>
      <c r="M344" s="72"/>
      <c r="N344" s="72"/>
      <c r="O344" s="72"/>
      <c r="P344" s="72"/>
      <c r="Q344" s="72"/>
      <c r="R344" s="72"/>
      <c r="S344" s="75"/>
    </row>
    <row r="345" spans="1:19" x14ac:dyDescent="0.2">
      <c r="A345" s="62" t="s">
        <v>74</v>
      </c>
      <c r="C345" s="4" t="s">
        <v>43</v>
      </c>
      <c r="S345" s="63"/>
    </row>
    <row r="346" spans="1:19" x14ac:dyDescent="0.2">
      <c r="A346" s="71" t="s">
        <v>123</v>
      </c>
      <c r="B346" s="72" t="s">
        <v>732</v>
      </c>
      <c r="C346" s="72" t="s">
        <v>43</v>
      </c>
      <c r="D346" s="72" t="s">
        <v>763</v>
      </c>
      <c r="E346" s="73" t="str">
        <f>CONCATENATE(B346,C346,"_",D346)</f>
        <v>s28_rpt_comm_starter_ab_occ</v>
      </c>
      <c r="F346" s="72" t="s">
        <v>654</v>
      </c>
      <c r="G346" s="72" t="str">
        <f>CONCATENATE(UPPER(B346),UPPER(C346),": ",F346)</f>
        <v>S28: Chi tiết các lần dùng</v>
      </c>
      <c r="H346" s="72"/>
      <c r="I346" s="72"/>
      <c r="J346" s="72"/>
      <c r="K346" s="72"/>
      <c r="L346" s="72"/>
      <c r="M346" s="72"/>
      <c r="N346" s="72"/>
      <c r="O346" s="72" t="str">
        <f>CONCATENATE("${",E344,"}")</f>
        <v>${s28q225_no_occassions}</v>
      </c>
      <c r="P346" s="72"/>
      <c r="Q346" s="72"/>
      <c r="R346" s="72"/>
      <c r="S346" s="75"/>
    </row>
    <row r="347" spans="1:19" x14ac:dyDescent="0.2">
      <c r="A347" s="71" t="s">
        <v>127</v>
      </c>
      <c r="B347" s="72" t="s">
        <v>655</v>
      </c>
      <c r="C347" s="72" t="s">
        <v>128</v>
      </c>
      <c r="D347" s="72" t="s">
        <v>764</v>
      </c>
      <c r="E347" s="73" t="str">
        <f>CONCATENATE(B347,C347,"_",D347)</f>
        <v>s36c1_cur_rpt_comm_starter_ab_name</v>
      </c>
      <c r="F347" s="72"/>
      <c r="G347" s="72"/>
      <c r="H347" s="72"/>
      <c r="I347" s="72"/>
      <c r="J347" s="72"/>
      <c r="K347" s="72"/>
      <c r="L347" s="72"/>
      <c r="M347" s="72"/>
      <c r="N347" s="72"/>
      <c r="O347" s="72"/>
      <c r="P347" s="72" t="str">
        <f>CONCATENATE("${",E335,"}")</f>
        <v>${s28c2_cur_comm_starter_ab_name}</v>
      </c>
      <c r="Q347" s="72"/>
      <c r="R347" s="72"/>
      <c r="S347" s="75"/>
    </row>
    <row r="348" spans="1:19" x14ac:dyDescent="0.2">
      <c r="A348" s="71" t="s">
        <v>127</v>
      </c>
      <c r="B348" s="72" t="s">
        <v>732</v>
      </c>
      <c r="C348" s="72" t="s">
        <v>128</v>
      </c>
      <c r="D348" s="72" t="s">
        <v>765</v>
      </c>
      <c r="E348" s="73" t="str">
        <f>CONCATENATE(B348,C348,"_",D348)</f>
        <v>s28c1_cur_comm_starter_ab_occassion</v>
      </c>
      <c r="F348" s="72"/>
      <c r="G348" s="72"/>
      <c r="H348" s="72"/>
      <c r="I348" s="72"/>
      <c r="J348" s="72"/>
      <c r="K348" s="72"/>
      <c r="L348" s="72"/>
      <c r="M348" s="72"/>
      <c r="N348" s="72"/>
      <c r="O348" s="72"/>
      <c r="P348" s="72" t="s">
        <v>658</v>
      </c>
      <c r="Q348" s="72"/>
      <c r="R348" s="72"/>
      <c r="S348" s="75"/>
    </row>
    <row r="349" spans="1:19" x14ac:dyDescent="0.2">
      <c r="A349" s="71" t="s">
        <v>88</v>
      </c>
      <c r="B349" s="72" t="s">
        <v>732</v>
      </c>
      <c r="C349" s="72" t="s">
        <v>766</v>
      </c>
      <c r="D349" s="72" t="s">
        <v>660</v>
      </c>
      <c r="E349" s="73" t="str">
        <f>CONCATENATE(B349,C349,"_",D349)</f>
        <v>s28q226_birds_age</v>
      </c>
      <c r="F349" s="72" t="str">
        <f>CONCATENATE("Ông/bà dùng &lt;span style='color:blue;'&gt;${",E347,"}&lt;/span&gt; the &lt;span style='color:blue;'&gt;${",E348,"}&lt;/span&gt; lần đầu cho đàn gà vào giai đoạn tuổi nào? (Lưu ý: tính theo tuần tuổi)?")</f>
        <v>Ông/bà dùng &lt;span style='color:blue;'&gt;${s36c1_cur_rpt_comm_starter_ab_name}&lt;/span&gt; the &lt;span style='color:blue;'&gt;${s28c1_cur_comm_starter_ab_occassion}&lt;/span&gt; lần đầu cho đàn gà vào giai đoạn tuổi nào? (Lưu ý: tính theo tuần tuổi)?</v>
      </c>
      <c r="G349" s="72" t="str">
        <f>CONCATENATE(UPPER(B349),UPPER(C349),": ",F349)</f>
        <v>S28Q226: Ông/bà dùng &lt;span style='color:blue;'&gt;${s36c1_cur_rpt_comm_starter_ab_name}&lt;/span&gt; the &lt;span style='color:blue;'&gt;${s28c1_cur_comm_starter_ab_occassion}&lt;/span&gt; lần đầu cho đàn gà vào giai đoạn tuổi nào? (Lưu ý: tính theo tuần tuổi)?</v>
      </c>
      <c r="H349" s="72" t="s">
        <v>2420</v>
      </c>
      <c r="I349" s="72" t="s">
        <v>106</v>
      </c>
      <c r="J349" s="72"/>
      <c r="K349" s="72" t="s">
        <v>40</v>
      </c>
      <c r="L349" s="72"/>
      <c r="M349" s="72"/>
      <c r="N349" s="72"/>
      <c r="O349" s="72"/>
      <c r="P349" s="72"/>
      <c r="Q349" s="72"/>
      <c r="R349" s="72"/>
      <c r="S349" s="75"/>
    </row>
    <row r="350" spans="1:19" x14ac:dyDescent="0.2">
      <c r="A350" s="71" t="s">
        <v>88</v>
      </c>
      <c r="B350" s="72" t="s">
        <v>732</v>
      </c>
      <c r="C350" s="72" t="s">
        <v>767</v>
      </c>
      <c r="D350" s="72" t="s">
        <v>598</v>
      </c>
      <c r="E350" s="73" t="str">
        <f>CONCATENATE(B350,C350,"_",D350)</f>
        <v>s28q227_cost</v>
      </c>
      <c r="F350" s="72" t="str">
        <f>CONCATENATE("Chi phí cho &lt;span style='color:blue;'&gt;${",E347,"}&lt;/span&gt; lần dùng &lt;span style='color:blue;'&gt;${",E348,"}&lt;/span&gt; là bao nhiêu?")</f>
        <v>Chi phí cho &lt;span style='color:blue;'&gt;${s36c1_cur_rpt_comm_starter_ab_name}&lt;/span&gt; lần dùng &lt;span style='color:blue;'&gt;${s28c1_cur_comm_starter_ab_occassion}&lt;/span&gt; là bao nhiêu?</v>
      </c>
      <c r="G350" s="72" t="str">
        <f>CONCATENATE(UPPER(B350),UPPER(C350),": ",F350)</f>
        <v>S28Q227: Chi phí cho &lt;span style='color:blue;'&gt;${s36c1_cur_rpt_comm_starter_ab_name}&lt;/span&gt; lần dùng &lt;span style='color:blue;'&gt;${s28c1_cur_comm_starter_ab_occassion}&lt;/span&gt; là bao nhiêu?</v>
      </c>
      <c r="H350" s="72" t="s">
        <v>2617</v>
      </c>
      <c r="I350" s="72" t="s">
        <v>106</v>
      </c>
      <c r="J350" s="72"/>
      <c r="K350" s="72" t="s">
        <v>40</v>
      </c>
      <c r="L350" s="72"/>
      <c r="M350" s="72"/>
      <c r="N350" s="72"/>
      <c r="O350" s="72"/>
      <c r="P350" s="72"/>
      <c r="Q350" s="72"/>
      <c r="R350" s="72"/>
      <c r="S350" s="75"/>
    </row>
    <row r="351" spans="1:19" x14ac:dyDescent="0.2">
      <c r="A351" s="62" t="s">
        <v>147</v>
      </c>
      <c r="C351" s="4" t="s">
        <v>43</v>
      </c>
      <c r="S351" s="63"/>
    </row>
    <row r="352" spans="1:19" ht="12.75" thickBot="1" x14ac:dyDescent="0.25">
      <c r="A352" s="64" t="s">
        <v>147</v>
      </c>
      <c r="B352" s="65"/>
      <c r="C352" s="65" t="s">
        <v>43</v>
      </c>
      <c r="D352" s="65"/>
      <c r="E352" s="65"/>
      <c r="F352" s="65"/>
      <c r="G352" s="65"/>
      <c r="H352" s="65"/>
      <c r="I352" s="65"/>
      <c r="J352" s="65"/>
      <c r="K352" s="65"/>
      <c r="L352" s="65"/>
      <c r="M352" s="65"/>
      <c r="N352" s="65"/>
      <c r="O352" s="65"/>
      <c r="P352" s="65"/>
      <c r="Q352" s="65"/>
      <c r="R352" s="65"/>
      <c r="S352" s="66"/>
    </row>
    <row r="353" spans="1:19" x14ac:dyDescent="0.2">
      <c r="A353" s="52" t="s">
        <v>662</v>
      </c>
      <c r="B353" s="53" t="s">
        <v>732</v>
      </c>
      <c r="C353" s="53" t="s">
        <v>768</v>
      </c>
      <c r="D353" s="53" t="s">
        <v>664</v>
      </c>
      <c r="E353" s="54" t="str">
        <f>CONCATENATE(B353,C353,"_",D353)</f>
        <v>s28q228_vitamins</v>
      </c>
      <c r="F353" s="53" t="s">
        <v>2418</v>
      </c>
      <c r="G353" s="53" t="str">
        <f>CONCATENATE(UPPER(B353),UPPER(C353),": ",F353)</f>
        <v xml:space="preserve">S28Q228: Ông/bà có bổ sung loại vitamin nào không? </v>
      </c>
      <c r="H353" s="53"/>
      <c r="I353" s="53"/>
      <c r="J353" s="53"/>
      <c r="K353" s="53" t="s">
        <v>40</v>
      </c>
      <c r="L353" s="53" t="s">
        <v>624</v>
      </c>
      <c r="M353" s="53" t="str">
        <f>CONCATENATE("selected(${",E330,"},'vitamins')")</f>
        <v>selected(${s28q216_comm_starter_addons},'vitamins')</v>
      </c>
      <c r="N353" s="53"/>
      <c r="O353" s="53"/>
      <c r="P353" s="53"/>
      <c r="Q353" s="53"/>
      <c r="R353" s="53"/>
      <c r="S353" s="55"/>
    </row>
    <row r="354" spans="1:19" x14ac:dyDescent="0.2">
      <c r="A354" s="56" t="s">
        <v>123</v>
      </c>
      <c r="B354" s="57" t="s">
        <v>732</v>
      </c>
      <c r="C354" s="57" t="s">
        <v>43</v>
      </c>
      <c r="D354" s="57" t="s">
        <v>769</v>
      </c>
      <c r="E354" s="58" t="str">
        <f>CONCATENATE(B354,C354,"_",D354)</f>
        <v>s28_rpt_comm_starter_vitamins</v>
      </c>
      <c r="F354" s="57" t="s">
        <v>2419</v>
      </c>
      <c r="G354" s="57" t="str">
        <f>CONCATENATE(UPPER(B354),UPPER(C354),": ",F354)</f>
        <v>S28: Vitamin</v>
      </c>
      <c r="H354" s="57"/>
      <c r="I354" s="57"/>
      <c r="J354" s="57"/>
      <c r="K354" s="57"/>
      <c r="L354" s="57"/>
      <c r="M354" s="57" t="str">
        <f>CONCATENATE("selected(${",E330,"},'vitamins')")</f>
        <v>selected(${s28q216_comm_starter_addons},'vitamins')</v>
      </c>
      <c r="N354" s="57"/>
      <c r="O354" s="59" t="str">
        <f>CONCATENATE("count-selected(${",E353,"})")</f>
        <v>count-selected(${s28q228_vitamins})</v>
      </c>
      <c r="P354" s="57"/>
      <c r="Q354" s="57"/>
      <c r="R354" s="57"/>
      <c r="S354" s="60"/>
    </row>
    <row r="355" spans="1:19" x14ac:dyDescent="0.2">
      <c r="A355" s="56" t="s">
        <v>127</v>
      </c>
      <c r="B355" s="57" t="s">
        <v>732</v>
      </c>
      <c r="C355" s="57" t="s">
        <v>128</v>
      </c>
      <c r="D355" s="57" t="s">
        <v>770</v>
      </c>
      <c r="E355" s="58" t="str">
        <f>CONCATENATE(B355,C355,"_",D355)</f>
        <v>s28c1_cur_comm_starter_vitamin</v>
      </c>
      <c r="F355" s="57"/>
      <c r="G355" s="57"/>
      <c r="H355" s="57"/>
      <c r="I355" s="57"/>
      <c r="J355" s="57"/>
      <c r="K355" s="57"/>
      <c r="L355" s="57"/>
      <c r="M355" s="57"/>
      <c r="N355" s="57"/>
      <c r="O355" s="57"/>
      <c r="P355" s="61" t="str">
        <f>CONCATENATE("selected-at(${",E353,"}, position(..)-1)")</f>
        <v>selected-at(${s28q228_vitamins}, position(..)-1)</v>
      </c>
      <c r="Q355" s="57"/>
      <c r="R355" s="57"/>
      <c r="S355" s="60"/>
    </row>
    <row r="356" spans="1:19" x14ac:dyDescent="0.2">
      <c r="A356" s="56" t="s">
        <v>127</v>
      </c>
      <c r="B356" s="57" t="s">
        <v>732</v>
      </c>
      <c r="C356" s="57" t="s">
        <v>130</v>
      </c>
      <c r="D356" s="57" t="s">
        <v>771</v>
      </c>
      <c r="E356" s="58" t="str">
        <f>CONCATENATE(B356,C356,"_",D356)</f>
        <v>s28c2_cur_comm_starter_vitamin_name</v>
      </c>
      <c r="F356" s="57"/>
      <c r="G356" s="57"/>
      <c r="H356" s="57"/>
      <c r="I356" s="57"/>
      <c r="J356" s="57"/>
      <c r="K356" s="57"/>
      <c r="L356" s="57"/>
      <c r="M356" s="57"/>
      <c r="N356" s="57"/>
      <c r="O356" s="57"/>
      <c r="P356" s="61" t="str">
        <f>CONCATENATE("if(string-length(../",E355,") != 0,jr:choice-name(${",E355,"},'${",E353,"}'),'unknown')")</f>
        <v>if(string-length(../s28c1_cur_comm_starter_vitamin) != 0,jr:choice-name(${s28c1_cur_comm_starter_vitamin},'${s28q228_vitamins}'),'unknown')</v>
      </c>
      <c r="Q356" s="57"/>
      <c r="R356" s="57"/>
      <c r="S356" s="60"/>
    </row>
    <row r="357" spans="1:19" x14ac:dyDescent="0.2">
      <c r="A357" s="56" t="s">
        <v>41</v>
      </c>
      <c r="B357" s="57" t="s">
        <v>732</v>
      </c>
      <c r="C357" s="57" t="s">
        <v>43</v>
      </c>
      <c r="D357" s="57" t="s">
        <v>772</v>
      </c>
      <c r="E357" s="58" t="str">
        <f>CONCATENATE(B357,C357,"_",D357)</f>
        <v>s28_grp_comm_starter_vitamin</v>
      </c>
      <c r="F357" s="57" t="s">
        <v>667</v>
      </c>
      <c r="G357" s="57" t="str">
        <f>CONCATENATE(UPPER(B357),UPPER(C357),": ",F357)</f>
        <v>S28: Thông tin chi tiết về Vitamin</v>
      </c>
      <c r="H357" s="57"/>
      <c r="I357" s="57"/>
      <c r="J357" s="57"/>
      <c r="K357" s="57"/>
      <c r="L357" s="57"/>
      <c r="M357" s="57"/>
      <c r="N357" s="57"/>
      <c r="O357" s="59"/>
      <c r="P357" s="57"/>
      <c r="Q357" s="57"/>
      <c r="R357" s="57"/>
      <c r="S357" s="60"/>
    </row>
    <row r="358" spans="1:19" x14ac:dyDescent="0.2">
      <c r="A358" s="56" t="s">
        <v>633</v>
      </c>
      <c r="B358" s="57" t="s">
        <v>732</v>
      </c>
      <c r="C358" s="57" t="s">
        <v>773</v>
      </c>
      <c r="D358" s="57" t="s">
        <v>635</v>
      </c>
      <c r="E358" s="58" t="str">
        <f t="shared" ref="E358:E363" si="40">CONCATENATE(B358,C358,"_",D358)</f>
        <v>s28q229_purpose</v>
      </c>
      <c r="F358" s="57" t="str">
        <f>CONCATENATE("Ông/bà dùng &lt;span style='color:blue;'&gt;${",E356,"}&lt;/span&gt; cho mục đích gì?")</f>
        <v>Ông/bà dùng &lt;span style='color:blue;'&gt;${s28c2_cur_comm_starter_vitamin_name}&lt;/span&gt; cho mục đích gì?</v>
      </c>
      <c r="G358" s="57" t="str">
        <f t="shared" ref="G358:G363" si="41">CONCATENATE(UPPER(B358),UPPER(C358),": ",F358)</f>
        <v>S28Q229: Ông/bà dùng &lt;span style='color:blue;'&gt;${s28c2_cur_comm_starter_vitamin_name}&lt;/span&gt; cho mục đích gì?</v>
      </c>
      <c r="H358" s="57"/>
      <c r="I358" s="57"/>
      <c r="J358" s="57"/>
      <c r="K358" s="57" t="s">
        <v>40</v>
      </c>
      <c r="L358" s="57"/>
      <c r="M358" s="57"/>
      <c r="N358" s="57"/>
      <c r="O358" s="57"/>
      <c r="P358" s="57"/>
      <c r="Q358" s="57"/>
      <c r="R358" s="57"/>
      <c r="S358" s="60"/>
    </row>
    <row r="359" spans="1:19" x14ac:dyDescent="0.2">
      <c r="A359" s="56" t="s">
        <v>636</v>
      </c>
      <c r="B359" s="57" t="s">
        <v>732</v>
      </c>
      <c r="C359" s="57" t="s">
        <v>774</v>
      </c>
      <c r="D359" s="57" t="s">
        <v>638</v>
      </c>
      <c r="E359" s="58" t="str">
        <f t="shared" si="40"/>
        <v>s28q230_use_reason</v>
      </c>
      <c r="F359" s="57" t="str">
        <f>CONCATENATE("Vì sao ông/bà quyết định sử dụng loại &lt;span style='color:blue;'&gt;${",E356,"}&lt;/span&gt; đó?")</f>
        <v>Vì sao ông/bà quyết định sử dụng loại &lt;span style='color:blue;'&gt;${s28c2_cur_comm_starter_vitamin_name}&lt;/span&gt; đó?</v>
      </c>
      <c r="G359" s="57" t="str">
        <f t="shared" si="41"/>
        <v>S28Q230: Vì sao ông/bà quyết định sử dụng loại &lt;span style='color:blue;'&gt;${s28c2_cur_comm_starter_vitamin_name}&lt;/span&gt; đó?</v>
      </c>
      <c r="H359" s="57"/>
      <c r="I359" s="57"/>
      <c r="J359" s="57"/>
      <c r="K359" s="57" t="s">
        <v>40</v>
      </c>
      <c r="L359" s="57"/>
      <c r="M359" s="57"/>
      <c r="N359" s="57"/>
      <c r="O359" s="57"/>
      <c r="P359" s="57"/>
      <c r="Q359" s="57"/>
      <c r="R359" s="57"/>
      <c r="S359" s="60"/>
    </row>
    <row r="360" spans="1:19" x14ac:dyDescent="0.2">
      <c r="A360" s="56" t="s">
        <v>639</v>
      </c>
      <c r="B360" s="57" t="s">
        <v>732</v>
      </c>
      <c r="C360" s="57" t="s">
        <v>775</v>
      </c>
      <c r="D360" s="57" t="s">
        <v>641</v>
      </c>
      <c r="E360" s="58" t="str">
        <f t="shared" si="40"/>
        <v>s28q231_source</v>
      </c>
      <c r="F360" s="57" t="str">
        <f>CONCATENATE("Ông/bà mua &lt;span style='color:blue;'&gt;${",E356,"}&lt;/span&gt; đó cho đàn gà? (Chọn NHIỀU đáp án phù hợp)")</f>
        <v>Ông/bà mua &lt;span style='color:blue;'&gt;${s28c2_cur_comm_starter_vitamin_name}&lt;/span&gt; đó cho đàn gà? (Chọn NHIỀU đáp án phù hợp)</v>
      </c>
      <c r="G360" s="57" t="str">
        <f t="shared" si="41"/>
        <v>S28Q231: Ông/bà mua &lt;span style='color:blue;'&gt;${s28c2_cur_comm_starter_vitamin_name}&lt;/span&gt; đó cho đàn gà? (Chọn NHIỀU đáp án phù hợp)</v>
      </c>
      <c r="H360" s="57"/>
      <c r="I360" s="57"/>
      <c r="J360" s="57"/>
      <c r="K360" s="57" t="s">
        <v>40</v>
      </c>
      <c r="L360" s="57"/>
      <c r="M360" s="57"/>
      <c r="N360" s="57"/>
      <c r="O360" s="57"/>
      <c r="P360" s="57"/>
      <c r="Q360" s="57"/>
      <c r="R360" s="57"/>
      <c r="S360" s="60"/>
    </row>
    <row r="361" spans="1:19" x14ac:dyDescent="0.2">
      <c r="A361" s="56" t="s">
        <v>645</v>
      </c>
      <c r="B361" s="57" t="s">
        <v>732</v>
      </c>
      <c r="C361" s="57" t="s">
        <v>776</v>
      </c>
      <c r="D361" s="57" t="s">
        <v>647</v>
      </c>
      <c r="E361" s="58" t="str">
        <f t="shared" si="40"/>
        <v>s28q232_who_admin</v>
      </c>
      <c r="F361" s="57" t="str">
        <f>CONCATENATE("Ai là người dùng/trộn/tiêm &lt;span style='color:blue;'&gt;${",E356,"}&lt;/span&gt; đó cho đàn gà? (Chọn NHIỀU đáp án phù hợp?")</f>
        <v>Ai là người dùng/trộn/tiêm &lt;span style='color:blue;'&gt;${s28c2_cur_comm_starter_vitamin_name}&lt;/span&gt; đó cho đàn gà? (Chọn NHIỀU đáp án phù hợp?</v>
      </c>
      <c r="G361" s="57" t="str">
        <f t="shared" si="41"/>
        <v>S28Q232: Ai là người dùng/trộn/tiêm &lt;span style='color:blue;'&gt;${s28c2_cur_comm_starter_vitamin_name}&lt;/span&gt; đó cho đàn gà? (Chọn NHIỀU đáp án phù hợp?</v>
      </c>
      <c r="H361" s="57"/>
      <c r="I361" s="57"/>
      <c r="J361" s="57"/>
      <c r="K361" s="57" t="s">
        <v>40</v>
      </c>
      <c r="L361" s="57"/>
      <c r="M361" s="57"/>
      <c r="N361" s="57"/>
      <c r="O361" s="57"/>
      <c r="P361" s="57"/>
      <c r="Q361" s="57"/>
      <c r="R361" s="57"/>
      <c r="S361" s="60"/>
    </row>
    <row r="362" spans="1:19" x14ac:dyDescent="0.2">
      <c r="A362" s="56" t="s">
        <v>648</v>
      </c>
      <c r="B362" s="57" t="s">
        <v>732</v>
      </c>
      <c r="C362" s="57" t="s">
        <v>777</v>
      </c>
      <c r="D362" s="57" t="s">
        <v>650</v>
      </c>
      <c r="E362" s="58" t="str">
        <f t="shared" si="40"/>
        <v>s28q233_how_knowhow</v>
      </c>
      <c r="F362" s="57" t="str">
        <f>CONCATENATE("Làm thế nào ông/bà hay họ biết cách sử dụng loại &lt;span style='color:blue;'&gt;${",E356,"}&lt;/span&gt;?")</f>
        <v>Làm thế nào ông/bà hay họ biết cách sử dụng loại &lt;span style='color:blue;'&gt;${s28c2_cur_comm_starter_vitamin_name}&lt;/span&gt;?</v>
      </c>
      <c r="G362" s="57" t="str">
        <f t="shared" si="41"/>
        <v>S28Q233: Làm thế nào ông/bà hay họ biết cách sử dụng loại &lt;span style='color:blue;'&gt;${s28c2_cur_comm_starter_vitamin_name}&lt;/span&gt;?</v>
      </c>
      <c r="H362" s="57"/>
      <c r="I362" s="57"/>
      <c r="J362" s="57"/>
      <c r="K362" s="57" t="s">
        <v>40</v>
      </c>
      <c r="L362" s="57"/>
      <c r="M362" s="57" t="str">
        <f>CONCATENATE("selected(${",E361,"},'myself') or selected(${",E361,"},'farm_worker') or selected(${",E361,"},'friends')")</f>
        <v>selected(${s28q232_who_admin},'myself') or selected(${s28q232_who_admin},'farm_worker') or selected(${s28q232_who_admin},'friends')</v>
      </c>
      <c r="N362" s="57"/>
      <c r="O362" s="57"/>
      <c r="P362" s="57"/>
      <c r="Q362" s="57"/>
      <c r="R362" s="57"/>
      <c r="S362" s="60"/>
    </row>
    <row r="363" spans="1:19" x14ac:dyDescent="0.2">
      <c r="A363" s="56" t="s">
        <v>88</v>
      </c>
      <c r="B363" s="57" t="s">
        <v>732</v>
      </c>
      <c r="C363" s="57" t="s">
        <v>778</v>
      </c>
      <c r="D363" s="57" t="s">
        <v>652</v>
      </c>
      <c r="E363" s="58" t="str">
        <f t="shared" si="40"/>
        <v>s28q234_no_occassions</v>
      </c>
      <c r="F363" s="57" t="str">
        <f>CONCATENATE("Ông/bà dùng &lt;span style='color:blue;'&gt;${",E356,"}&lt;/span&gt; cho đàn gà của mình bao nhiêu lần?")</f>
        <v>Ông/bà dùng &lt;span style='color:blue;'&gt;${s28c2_cur_comm_starter_vitamin_name}&lt;/span&gt; cho đàn gà của mình bao nhiêu lần?</v>
      </c>
      <c r="G363" s="57" t="str">
        <f t="shared" si="41"/>
        <v>S28Q234: Ông/bà dùng &lt;span style='color:blue;'&gt;${s28c2_cur_comm_starter_vitamin_name}&lt;/span&gt; cho đàn gà của mình bao nhiêu lần?</v>
      </c>
      <c r="H363" s="57"/>
      <c r="I363" s="57" t="s">
        <v>184</v>
      </c>
      <c r="J363" s="57"/>
      <c r="K363" s="57" t="s">
        <v>40</v>
      </c>
      <c r="L363" s="57"/>
      <c r="M363" s="57"/>
      <c r="N363" s="57"/>
      <c r="O363" s="57"/>
      <c r="P363" s="57"/>
      <c r="Q363" s="57"/>
      <c r="R363" s="57"/>
      <c r="S363" s="60"/>
    </row>
    <row r="364" spans="1:19" x14ac:dyDescent="0.2">
      <c r="A364" s="62" t="s">
        <v>74</v>
      </c>
      <c r="C364" s="4" t="s">
        <v>43</v>
      </c>
      <c r="S364" s="63"/>
    </row>
    <row r="365" spans="1:19" x14ac:dyDescent="0.2">
      <c r="A365" s="56" t="s">
        <v>123</v>
      </c>
      <c r="B365" s="57" t="s">
        <v>732</v>
      </c>
      <c r="C365" s="57" t="s">
        <v>43</v>
      </c>
      <c r="D365" s="57" t="s">
        <v>779</v>
      </c>
      <c r="E365" s="58" t="str">
        <f>CONCATENATE(B365,C365,"_",D365)</f>
        <v>s28_rpt_comm_starter_vit_occ</v>
      </c>
      <c r="F365" s="57" t="s">
        <v>654</v>
      </c>
      <c r="G365" s="57" t="str">
        <f>CONCATENATE(UPPER(B365),UPPER(C365),": ",F365)</f>
        <v>S28: Chi tiết các lần dùng</v>
      </c>
      <c r="H365" s="57"/>
      <c r="I365" s="57"/>
      <c r="J365" s="57"/>
      <c r="K365" s="57"/>
      <c r="L365" s="57"/>
      <c r="M365" s="57"/>
      <c r="N365" s="57"/>
      <c r="O365" s="57" t="str">
        <f>CONCATENATE("${",E363,"}")</f>
        <v>${s28q234_no_occassions}</v>
      </c>
      <c r="P365" s="57"/>
      <c r="Q365" s="57"/>
      <c r="R365" s="57"/>
      <c r="S365" s="60"/>
    </row>
    <row r="366" spans="1:19" x14ac:dyDescent="0.2">
      <c r="A366" s="71" t="s">
        <v>127</v>
      </c>
      <c r="B366" s="72" t="s">
        <v>655</v>
      </c>
      <c r="C366" s="72" t="s">
        <v>128</v>
      </c>
      <c r="D366" s="57" t="s">
        <v>780</v>
      </c>
      <c r="E366" s="73" t="str">
        <f>CONCATENATE(B366,C366,"_",D366)</f>
        <v>s36c1_cur_rpt_comm_starter_vitamin_name</v>
      </c>
      <c r="F366" s="72"/>
      <c r="G366" s="72"/>
      <c r="H366" s="72"/>
      <c r="I366" s="72"/>
      <c r="J366" s="72"/>
      <c r="K366" s="72"/>
      <c r="L366" s="72"/>
      <c r="M366" s="72"/>
      <c r="N366" s="72"/>
      <c r="O366" s="72"/>
      <c r="P366" s="72" t="str">
        <f>CONCATENATE("${",E356,"}")</f>
        <v>${s28c2_cur_comm_starter_vitamin_name}</v>
      </c>
      <c r="Q366" s="72"/>
      <c r="R366" s="72"/>
      <c r="S366" s="75"/>
    </row>
    <row r="367" spans="1:19" x14ac:dyDescent="0.2">
      <c r="A367" s="56" t="s">
        <v>127</v>
      </c>
      <c r="B367" s="57" t="s">
        <v>732</v>
      </c>
      <c r="C367" s="57" t="s">
        <v>128</v>
      </c>
      <c r="D367" s="57" t="s">
        <v>781</v>
      </c>
      <c r="E367" s="58" t="str">
        <f>CONCATENATE(B367,C367,"_",D367)</f>
        <v>s28c1_cur_comm_starter_vit_occassion</v>
      </c>
      <c r="F367" s="57"/>
      <c r="G367" s="57"/>
      <c r="H367" s="57"/>
      <c r="I367" s="57"/>
      <c r="J367" s="57"/>
      <c r="K367" s="57"/>
      <c r="L367" s="57"/>
      <c r="M367" s="57"/>
      <c r="N367" s="57"/>
      <c r="O367" s="57"/>
      <c r="P367" s="57" t="s">
        <v>658</v>
      </c>
      <c r="Q367" s="57"/>
      <c r="R367" s="57"/>
      <c r="S367" s="60"/>
    </row>
    <row r="368" spans="1:19" x14ac:dyDescent="0.2">
      <c r="A368" s="56" t="s">
        <v>88</v>
      </c>
      <c r="B368" s="57" t="s">
        <v>732</v>
      </c>
      <c r="C368" s="57" t="s">
        <v>782</v>
      </c>
      <c r="D368" s="57" t="s">
        <v>660</v>
      </c>
      <c r="E368" s="58" t="str">
        <f>CONCATENATE(B368,C368,"_",D368)</f>
        <v>s28q235_birds_age</v>
      </c>
      <c r="F368" s="57" t="str">
        <f>CONCATENATE("Ông/bà dùng &lt;span style='color:blue;'&gt;${",E366,"}&lt;/span&gt; lần đầu &lt;span style='color:blue;'&gt;${",E367,"}&lt;/span&gt; cho đàn gà vào giai đoạn tuổi nào? (Lưu ý: tính theo tuần tuổi)")</f>
        <v>Ông/bà dùng &lt;span style='color:blue;'&gt;${s36c1_cur_rpt_comm_starter_vitamin_name}&lt;/span&gt; lần đầu &lt;span style='color:blue;'&gt;${s28c1_cur_comm_starter_vit_occassion}&lt;/span&gt; cho đàn gà vào giai đoạn tuổi nào? (Lưu ý: tính theo tuần tuổi)</v>
      </c>
      <c r="G368" s="57" t="str">
        <f>CONCATENATE(UPPER(B368),UPPER(C368),": ",F368)</f>
        <v>S28Q235: Ông/bà dùng &lt;span style='color:blue;'&gt;${s36c1_cur_rpt_comm_starter_vitamin_name}&lt;/span&gt; lần đầu &lt;span style='color:blue;'&gt;${s28c1_cur_comm_starter_vit_occassion}&lt;/span&gt; cho đàn gà vào giai đoạn tuổi nào? (Lưu ý: tính theo tuần tuổi)</v>
      </c>
      <c r="H368" s="57" t="s">
        <v>2420</v>
      </c>
      <c r="I368" s="57" t="s">
        <v>106</v>
      </c>
      <c r="J368" s="57"/>
      <c r="K368" s="57" t="s">
        <v>40</v>
      </c>
      <c r="L368" s="57"/>
      <c r="M368" s="57"/>
      <c r="N368" s="57"/>
      <c r="O368" s="57"/>
      <c r="P368" s="57"/>
      <c r="Q368" s="57"/>
      <c r="R368" s="57"/>
      <c r="S368" s="60"/>
    </row>
    <row r="369" spans="1:19" x14ac:dyDescent="0.2">
      <c r="A369" s="56" t="s">
        <v>88</v>
      </c>
      <c r="B369" s="57" t="s">
        <v>732</v>
      </c>
      <c r="C369" s="57" t="s">
        <v>783</v>
      </c>
      <c r="D369" s="57" t="s">
        <v>598</v>
      </c>
      <c r="E369" s="58" t="str">
        <f>CONCATENATE(B369,C369,"_",D369)</f>
        <v>s28q236_cost</v>
      </c>
      <c r="F369" s="57" t="str">
        <f>CONCATENATE("Chi phí cho &lt;span style='color:blue;'&gt;${",E366,"}&lt;/span&gt; lần dùng &lt;span style='color:blue;'&gt;${",E367,"}&lt;/span&gt; là khoảng bao nhiêu? (Lưu ý: tính bằng nghìn VNĐ)?")</f>
        <v>Chi phí cho &lt;span style='color:blue;'&gt;${s36c1_cur_rpt_comm_starter_vitamin_name}&lt;/span&gt; lần dùng &lt;span style='color:blue;'&gt;${s28c1_cur_comm_starter_vit_occassion}&lt;/span&gt; là khoảng bao nhiêu? (Lưu ý: tính bằng nghìn VNĐ)?</v>
      </c>
      <c r="G369" s="57" t="str">
        <f>CONCATENATE(UPPER(B369),UPPER(C369),": ",F369)</f>
        <v>S28Q236: Chi phí cho &lt;span style='color:blue;'&gt;${s36c1_cur_rpt_comm_starter_vitamin_name}&lt;/span&gt; lần dùng &lt;span style='color:blue;'&gt;${s28c1_cur_comm_starter_vit_occassion}&lt;/span&gt; là khoảng bao nhiêu? (Lưu ý: tính bằng nghìn VNĐ)?</v>
      </c>
      <c r="H369" s="57" t="s">
        <v>2617</v>
      </c>
      <c r="I369" s="57" t="s">
        <v>106</v>
      </c>
      <c r="J369" s="57"/>
      <c r="K369" s="57" t="s">
        <v>40</v>
      </c>
      <c r="L369" s="57"/>
      <c r="M369" s="57"/>
      <c r="N369" s="57"/>
      <c r="O369" s="57"/>
      <c r="P369" s="57"/>
      <c r="Q369" s="57"/>
      <c r="R369" s="57"/>
      <c r="S369" s="60"/>
    </row>
    <row r="370" spans="1:19" x14ac:dyDescent="0.2">
      <c r="A370" s="62" t="s">
        <v>147</v>
      </c>
      <c r="C370" s="4" t="s">
        <v>43</v>
      </c>
      <c r="S370" s="63"/>
    </row>
    <row r="371" spans="1:19" ht="12.75" thickBot="1" x14ac:dyDescent="0.25">
      <c r="A371" s="64" t="s">
        <v>147</v>
      </c>
      <c r="B371" s="65"/>
      <c r="C371" s="65" t="s">
        <v>43</v>
      </c>
      <c r="D371" s="65"/>
      <c r="E371" s="65"/>
      <c r="F371" s="65"/>
      <c r="G371" s="65"/>
      <c r="H371" s="65"/>
      <c r="I371" s="65"/>
      <c r="J371" s="65"/>
      <c r="K371" s="65"/>
      <c r="L371" s="65"/>
      <c r="M371" s="65"/>
      <c r="N371" s="65"/>
      <c r="O371" s="65"/>
      <c r="P371" s="65"/>
      <c r="Q371" s="65"/>
      <c r="R371" s="65"/>
      <c r="S371" s="66"/>
    </row>
    <row r="372" spans="1:19" x14ac:dyDescent="0.2">
      <c r="A372" s="4" t="s">
        <v>147</v>
      </c>
      <c r="C372" s="4" t="s">
        <v>43</v>
      </c>
    </row>
    <row r="373" spans="1:19" x14ac:dyDescent="0.2">
      <c r="A373" s="26" t="s">
        <v>731</v>
      </c>
      <c r="B373" s="26" t="s">
        <v>784</v>
      </c>
      <c r="C373" s="26" t="s">
        <v>785</v>
      </c>
      <c r="D373" s="26" t="s">
        <v>786</v>
      </c>
      <c r="E373" s="12" t="str">
        <f t="shared" ref="E373:E382" si="42">CONCATENATE(B373,C373,"_",D373)</f>
        <v>s29q237_commercial_finisher</v>
      </c>
      <c r="F373" s="26" t="s">
        <v>2615</v>
      </c>
      <c r="G373" s="26" t="str">
        <f>CONCATENATE(UPPER(B373),UPPER(C373),": ",F373)</f>
        <v>S29Q237: Ở lứa gà gần đây nhất, Ông/bà dùng cám công nghiệp cho &lt;span style='color:blue;'&gt;GIAI ĐOẠN GÀ GIÒ/GIAI ĐOẠN CUỐI&lt;/span&gt; là của công ty nào?</v>
      </c>
      <c r="H373" s="26"/>
      <c r="I373" s="26"/>
      <c r="J373" s="26"/>
      <c r="K373" s="26" t="s">
        <v>40</v>
      </c>
      <c r="L373" s="26"/>
      <c r="M373" s="26" t="str">
        <f>CONCATENATE("selected(${",E225,"},'commercial')")</f>
        <v>selected(${s25q158_feed_type},'commercial')</v>
      </c>
      <c r="N373" s="26"/>
      <c r="O373" s="26"/>
      <c r="P373" s="26"/>
      <c r="Q373" s="26"/>
      <c r="R373" s="26"/>
      <c r="S373" s="26"/>
    </row>
    <row r="374" spans="1:19" x14ac:dyDescent="0.2">
      <c r="A374" s="26" t="s">
        <v>123</v>
      </c>
      <c r="B374" s="26" t="s">
        <v>784</v>
      </c>
      <c r="C374" s="26" t="s">
        <v>43</v>
      </c>
      <c r="D374" s="26" t="s">
        <v>787</v>
      </c>
      <c r="E374" s="12" t="str">
        <f t="shared" si="42"/>
        <v>s29_rpt_comm_finisher</v>
      </c>
      <c r="F374" s="26" t="s">
        <v>2614</v>
      </c>
      <c r="G374" s="26" t="str">
        <f>CONCATENATE(UPPER(B374),UPPER(C374),": ",F374)</f>
        <v>S29: Cám công nghiệp cho giai đoạn gà giò</v>
      </c>
      <c r="H374" s="26"/>
      <c r="I374" s="26"/>
      <c r="J374" s="26"/>
      <c r="K374" s="26"/>
      <c r="L374" s="26"/>
      <c r="M374" s="26" t="str">
        <f>CONCATENATE("selected(${",E225,"},'commercial')")</f>
        <v>selected(${s25q158_feed_type},'commercial')</v>
      </c>
      <c r="N374" s="26"/>
      <c r="O374" s="36" t="str">
        <f>CONCATENATE("count-selected(${",E373,"})")</f>
        <v>count-selected(${s29q237_commercial_finisher})</v>
      </c>
      <c r="P374" s="26"/>
      <c r="Q374" s="26"/>
      <c r="R374" s="26"/>
      <c r="S374" s="26"/>
    </row>
    <row r="375" spans="1:19" x14ac:dyDescent="0.2">
      <c r="A375" s="26" t="s">
        <v>127</v>
      </c>
      <c r="B375" s="26" t="s">
        <v>784</v>
      </c>
      <c r="C375" s="26" t="s">
        <v>788</v>
      </c>
      <c r="D375" s="26" t="s">
        <v>789</v>
      </c>
      <c r="E375" s="12" t="str">
        <f t="shared" si="42"/>
        <v>s29c3_cur_finisher</v>
      </c>
      <c r="F375" s="26"/>
      <c r="G375" s="26"/>
      <c r="H375" s="26"/>
      <c r="I375" s="26"/>
      <c r="J375" s="26"/>
      <c r="K375" s="26"/>
      <c r="L375" s="26"/>
      <c r="M375" s="26"/>
      <c r="N375" s="26"/>
      <c r="O375" s="26"/>
      <c r="P375" s="37" t="str">
        <f>CONCATENATE("selected-at(${",E373,"}, position(..)-1)")</f>
        <v>selected-at(${s29q237_commercial_finisher}, position(..)-1)</v>
      </c>
      <c r="Q375" s="26"/>
      <c r="R375" s="26"/>
      <c r="S375" s="26"/>
    </row>
    <row r="376" spans="1:19" x14ac:dyDescent="0.2">
      <c r="A376" s="26" t="s">
        <v>127</v>
      </c>
      <c r="B376" s="26" t="s">
        <v>784</v>
      </c>
      <c r="C376" s="26" t="s">
        <v>790</v>
      </c>
      <c r="D376" s="26" t="s">
        <v>791</v>
      </c>
      <c r="E376" s="12" t="str">
        <f t="shared" si="42"/>
        <v>s29c4_cur_finisher_name</v>
      </c>
      <c r="F376" s="26"/>
      <c r="G376" s="26"/>
      <c r="H376" s="26"/>
      <c r="I376" s="26"/>
      <c r="J376" s="26"/>
      <c r="K376" s="26"/>
      <c r="L376" s="26"/>
      <c r="M376" s="26"/>
      <c r="N376" s="26"/>
      <c r="O376" s="26"/>
      <c r="P376" s="37" t="str">
        <f>CONCATENATE("if(string-length(../",E375,") != 0,jr:choice-name(${",E375,"},'${",E373,"}'),'unknown')")</f>
        <v>if(string-length(../s29c3_cur_finisher) != 0,jr:choice-name(${s29c3_cur_finisher},'${s29q237_commercial_finisher}'),'unknown')</v>
      </c>
      <c r="Q376" s="26"/>
      <c r="R376" s="26"/>
      <c r="S376" s="26"/>
    </row>
    <row r="377" spans="1:19" x14ac:dyDescent="0.2">
      <c r="A377" s="26" t="s">
        <v>41</v>
      </c>
      <c r="B377" s="26" t="s">
        <v>784</v>
      </c>
      <c r="C377" s="26" t="s">
        <v>43</v>
      </c>
      <c r="D377" s="26" t="s">
        <v>792</v>
      </c>
      <c r="E377" s="12" t="str">
        <f t="shared" si="42"/>
        <v>s29_grp_comm_finisher_details</v>
      </c>
      <c r="F377" s="26" t="s">
        <v>2616</v>
      </c>
      <c r="G377" s="26" t="str">
        <f t="shared" ref="G377:G382" si="43">CONCATENATE(UPPER(B377),UPPER(C377),": ",F377)</f>
        <v>S29: Các câu hỏi chi tiết về hãng cám</v>
      </c>
      <c r="H377" s="26"/>
      <c r="I377" s="26"/>
      <c r="J377" s="26"/>
      <c r="K377" s="26"/>
      <c r="L377" s="26"/>
      <c r="M377" s="26"/>
      <c r="N377" s="26"/>
      <c r="O377" s="26"/>
      <c r="P377" s="26"/>
      <c r="Q377" s="26"/>
      <c r="R377" s="26"/>
      <c r="S377" s="26"/>
    </row>
    <row r="378" spans="1:19" x14ac:dyDescent="0.2">
      <c r="A378" s="26" t="s">
        <v>88</v>
      </c>
      <c r="B378" s="26" t="s">
        <v>784</v>
      </c>
      <c r="C378" s="26" t="s">
        <v>793</v>
      </c>
      <c r="D378" s="26" t="s">
        <v>794</v>
      </c>
      <c r="E378" s="12" t="str">
        <f t="shared" si="42"/>
        <v>s29q238_comm_no_finisher</v>
      </c>
      <c r="F378" s="26" t="str">
        <f>CONCATENATE("&lt;span style='color:blue;'&gt;${",E376,"} - Cám công nghiệp cho giai đoạn gà giò&lt;/span&gt;: Ông/bà sử dụng tổng số bao nhiêu bao thức ăn giai đoạn cuối cho lứa gà gần đây nhất ?")</f>
        <v>&lt;span style='color:blue;'&gt;${s29c4_cur_finisher_name} - Cám công nghiệp cho giai đoạn gà giò&lt;/span&gt;: Ông/bà sử dụng tổng số bao nhiêu bao thức ăn giai đoạn cuối cho lứa gà gần đây nhất ?</v>
      </c>
      <c r="G378" s="26" t="str">
        <f t="shared" si="43"/>
        <v>S29Q238: &lt;span style='color:blue;'&gt;${s29c4_cur_finisher_name} - Cám công nghiệp cho giai đoạn gà giò&lt;/span&gt;: Ông/bà sử dụng tổng số bao nhiêu bao thức ăn giai đoạn cuối cho lứa gà gần đây nhất ?</v>
      </c>
      <c r="H378" s="26"/>
      <c r="I378" s="26" t="s">
        <v>106</v>
      </c>
      <c r="J378" s="26"/>
      <c r="K378" s="26" t="s">
        <v>40</v>
      </c>
      <c r="L378" s="26"/>
      <c r="M378" s="26"/>
      <c r="N378" s="26"/>
      <c r="O378" s="26"/>
      <c r="P378" s="26"/>
      <c r="Q378" s="26"/>
      <c r="R378" s="26"/>
      <c r="S378" s="26"/>
    </row>
    <row r="379" spans="1:19" x14ac:dyDescent="0.2">
      <c r="A379" s="26" t="s">
        <v>88</v>
      </c>
      <c r="B379" s="26" t="s">
        <v>784</v>
      </c>
      <c r="C379" s="26" t="s">
        <v>795</v>
      </c>
      <c r="D379" s="26" t="s">
        <v>796</v>
      </c>
      <c r="E379" s="12" t="str">
        <f t="shared" si="42"/>
        <v>s29q239_comm_finisher_weight</v>
      </c>
      <c r="F379" s="26" t="str">
        <f>CONCATENATE("&lt;span style='color:blue;'&gt;${",E376,"} - Cám công nghiệp cho giai đoạn gà giò&lt;/span&gt;: Mỗi bao đó là bao nhiêu kilogram?")</f>
        <v>&lt;span style='color:blue;'&gt;${s29c4_cur_finisher_name} - Cám công nghiệp cho giai đoạn gà giò&lt;/span&gt;: Mỗi bao đó là bao nhiêu kilogram?</v>
      </c>
      <c r="G379" s="26" t="str">
        <f t="shared" si="43"/>
        <v>S29Q239: &lt;span style='color:blue;'&gt;${s29c4_cur_finisher_name} - Cám công nghiệp cho giai đoạn gà giò&lt;/span&gt;: Mỗi bao đó là bao nhiêu kilogram?</v>
      </c>
      <c r="H379" s="26" t="s">
        <v>2769</v>
      </c>
      <c r="I379" s="26" t="s">
        <v>106</v>
      </c>
      <c r="J379" s="26"/>
      <c r="K379" s="26" t="s">
        <v>40</v>
      </c>
      <c r="L379" s="26"/>
      <c r="M379" s="26"/>
      <c r="N379" s="26"/>
      <c r="O379" s="26"/>
      <c r="P379" s="26"/>
      <c r="Q379" s="26"/>
      <c r="R379" s="26"/>
      <c r="S379" s="26"/>
    </row>
    <row r="380" spans="1:19" x14ac:dyDescent="0.2">
      <c r="A380" s="26" t="s">
        <v>88</v>
      </c>
      <c r="B380" s="26" t="s">
        <v>784</v>
      </c>
      <c r="C380" s="26" t="s">
        <v>797</v>
      </c>
      <c r="D380" s="26" t="s">
        <v>798</v>
      </c>
      <c r="E380" s="12" t="str">
        <f t="shared" si="42"/>
        <v>s29q240_comm_finisher_cost</v>
      </c>
      <c r="F380" s="26" t="str">
        <f>CONCATENATE("&lt;span style='color:blue;'&gt;${",E376,"} - Cám công nghiệp cho giai đoạn gà giò&lt;/span&gt;: Giá một bao đó là bao nhiêu tiền?")</f>
        <v>&lt;span style='color:blue;'&gt;${s29c4_cur_finisher_name} - Cám công nghiệp cho giai đoạn gà giò&lt;/span&gt;: Giá một bao đó là bao nhiêu tiền?</v>
      </c>
      <c r="G380" s="26" t="str">
        <f t="shared" si="43"/>
        <v>S29Q240: &lt;span style='color:blue;'&gt;${s29c4_cur_finisher_name} - Cám công nghiệp cho giai đoạn gà giò&lt;/span&gt;: Giá một bao đó là bao nhiêu tiền?</v>
      </c>
      <c r="H380" s="26" t="s">
        <v>2617</v>
      </c>
      <c r="I380" s="26" t="s">
        <v>106</v>
      </c>
      <c r="J380" s="26"/>
      <c r="K380" s="26" t="s">
        <v>40</v>
      </c>
      <c r="L380" s="26"/>
      <c r="M380" s="26"/>
      <c r="N380" s="26"/>
      <c r="O380" s="26"/>
      <c r="P380" s="26"/>
      <c r="Q380" s="26"/>
      <c r="R380" s="26"/>
      <c r="S380" s="26"/>
    </row>
    <row r="381" spans="1:19" x14ac:dyDescent="0.2">
      <c r="A381" s="26" t="s">
        <v>612</v>
      </c>
      <c r="B381" s="26" t="s">
        <v>784</v>
      </c>
      <c r="C381" s="26" t="s">
        <v>799</v>
      </c>
      <c r="D381" s="26" t="s">
        <v>800</v>
      </c>
      <c r="E381" s="12" t="str">
        <f t="shared" si="42"/>
        <v>s29q241_comm_finisher_reason</v>
      </c>
      <c r="F381" s="26" t="str">
        <f>CONCATENATE("&lt;span style='color:blue;'&gt;${",E376,"} - Cám công nghiệp cho giai đoạn gà giò&lt;/span&gt;: Tại sao ông/bà chọn sử dụng loại thức ăn này?")</f>
        <v>&lt;span style='color:blue;'&gt;${s29c4_cur_finisher_name} - Cám công nghiệp cho giai đoạn gà giò&lt;/span&gt;: Tại sao ông/bà chọn sử dụng loại thức ăn này?</v>
      </c>
      <c r="G381" s="26" t="str">
        <f t="shared" si="43"/>
        <v>S29Q241: &lt;span style='color:blue;'&gt;${s29c4_cur_finisher_name} - Cám công nghiệp cho giai đoạn gà giò&lt;/span&gt;: Tại sao ông/bà chọn sử dụng loại thức ăn này?</v>
      </c>
      <c r="H381" s="26" t="s">
        <v>2770</v>
      </c>
      <c r="I381" s="26"/>
      <c r="J381" s="26"/>
      <c r="K381" s="26" t="s">
        <v>40</v>
      </c>
      <c r="L381" s="26"/>
      <c r="M381" s="26"/>
      <c r="N381" s="26"/>
      <c r="O381" s="26"/>
      <c r="P381" s="26"/>
      <c r="Q381" s="26"/>
      <c r="R381" s="26"/>
      <c r="S381" s="26"/>
    </row>
    <row r="382" spans="1:19" x14ac:dyDescent="0.2">
      <c r="A382" s="26" t="s">
        <v>616</v>
      </c>
      <c r="B382" s="26" t="s">
        <v>784</v>
      </c>
      <c r="C382" s="26" t="s">
        <v>801</v>
      </c>
      <c r="D382" s="26" t="s">
        <v>802</v>
      </c>
      <c r="E382" s="12" t="str">
        <f t="shared" si="42"/>
        <v>s29q242_comm_finisher_addons</v>
      </c>
      <c r="F382" s="26" t="str">
        <f>CONCATENATE("&lt;span style='color:blue;'&gt;${",E376,"} - Cám công nghiệp cho giai đoạn gà giò&lt;/span&gt;: Ông/bà có trộn bổ sung thành phần nào khác vào thức ăn không?")</f>
        <v>&lt;span style='color:blue;'&gt;${s29c4_cur_finisher_name} - Cám công nghiệp cho giai đoạn gà giò&lt;/span&gt;: Ông/bà có trộn bổ sung thành phần nào khác vào thức ăn không?</v>
      </c>
      <c r="G382" s="26" t="str">
        <f t="shared" si="43"/>
        <v>S29Q242: &lt;span style='color:blue;'&gt;${s29c4_cur_finisher_name} - Cám công nghiệp cho giai đoạn gà giò&lt;/span&gt;: Ông/bà có trộn bổ sung thành phần nào khác vào thức ăn không?</v>
      </c>
      <c r="H382" s="26"/>
      <c r="I382" s="26" t="s">
        <v>382</v>
      </c>
      <c r="J382" s="26" t="s">
        <v>383</v>
      </c>
      <c r="K382" s="26" t="s">
        <v>40</v>
      </c>
      <c r="L382" s="26"/>
      <c r="M382" s="26"/>
      <c r="N382" s="26"/>
      <c r="O382" s="26"/>
      <c r="P382" s="26"/>
      <c r="Q382" s="26"/>
      <c r="R382" s="26"/>
      <c r="S382" s="26"/>
    </row>
    <row r="383" spans="1:19" ht="12.75" thickBot="1" x14ac:dyDescent="0.25">
      <c r="A383" s="4" t="s">
        <v>74</v>
      </c>
      <c r="C383" s="4" t="s">
        <v>43</v>
      </c>
    </row>
    <row r="384" spans="1:19" x14ac:dyDescent="0.2">
      <c r="A384" s="67" t="s">
        <v>619</v>
      </c>
      <c r="B384" s="68" t="s">
        <v>784</v>
      </c>
      <c r="C384" s="68" t="s">
        <v>803</v>
      </c>
      <c r="D384" s="68" t="s">
        <v>750</v>
      </c>
      <c r="E384" s="69" t="str">
        <f t="shared" ref="E384:E390" si="44">CONCATENATE(B384,C384,"_",D384)</f>
        <v>s29q243_antibiotics</v>
      </c>
      <c r="F384" s="68" t="s">
        <v>623</v>
      </c>
      <c r="G384" s="68" t="str">
        <f>CONCATENATE(UPPER(B384),UPPER(C384),": ",F384)</f>
        <v>S29Q243: Ông/bà trộn loại kháng sinh gì?</v>
      </c>
      <c r="H384" s="68"/>
      <c r="I384" s="68"/>
      <c r="J384" s="68"/>
      <c r="K384" s="68" t="s">
        <v>40</v>
      </c>
      <c r="L384" s="68" t="s">
        <v>624</v>
      </c>
      <c r="M384" s="68" t="str">
        <f>CONCATENATE("selected(${",E382,"},'antibiotic')")</f>
        <v>selected(${s29q242_comm_finisher_addons},'antibiotic')</v>
      </c>
      <c r="N384" s="68"/>
      <c r="O384" s="68"/>
      <c r="P384" s="68"/>
      <c r="Q384" s="68"/>
      <c r="R384" s="68"/>
      <c r="S384" s="70"/>
    </row>
    <row r="385" spans="1:19" x14ac:dyDescent="0.2">
      <c r="A385" s="71" t="s">
        <v>123</v>
      </c>
      <c r="B385" s="72" t="s">
        <v>784</v>
      </c>
      <c r="C385" s="72" t="s">
        <v>43</v>
      </c>
      <c r="D385" s="72" t="s">
        <v>804</v>
      </c>
      <c r="E385" s="73" t="str">
        <f t="shared" si="44"/>
        <v>s29_rpt_comm_finisher_abs</v>
      </c>
      <c r="F385" s="72" t="s">
        <v>2413</v>
      </c>
      <c r="G385" s="72" t="str">
        <f>CONCATENATE(UPPER(B385),UPPER(C385),": ",F385)</f>
        <v>S29: Thông tin chi tiết về thuốc kháng sinh</v>
      </c>
      <c r="H385" s="72"/>
      <c r="I385" s="72"/>
      <c r="J385" s="72"/>
      <c r="K385" s="72"/>
      <c r="L385" s="72"/>
      <c r="M385" s="72" t="str">
        <f>CONCATENATE("selected(${",E382,"},'antibiotic')")</f>
        <v>selected(${s29q242_comm_finisher_addons},'antibiotic')</v>
      </c>
      <c r="N385" s="72"/>
      <c r="O385" s="74" t="str">
        <f>CONCATENATE("count-selected(${",E384,"})")</f>
        <v>count-selected(${s29q243_antibiotics})</v>
      </c>
      <c r="P385" s="72"/>
      <c r="Q385" s="72"/>
      <c r="R385" s="72"/>
      <c r="S385" s="75"/>
    </row>
    <row r="386" spans="1:19" x14ac:dyDescent="0.2">
      <c r="A386" s="71" t="s">
        <v>127</v>
      </c>
      <c r="B386" s="72" t="s">
        <v>784</v>
      </c>
      <c r="C386" s="72" t="s">
        <v>128</v>
      </c>
      <c r="D386" s="72" t="s">
        <v>805</v>
      </c>
      <c r="E386" s="73" t="str">
        <f t="shared" si="44"/>
        <v>s29c1_cur_comm_finisher_ab</v>
      </c>
      <c r="F386" s="72"/>
      <c r="G386" s="72"/>
      <c r="H386" s="72"/>
      <c r="I386" s="72"/>
      <c r="J386" s="72"/>
      <c r="K386" s="72"/>
      <c r="L386" s="72"/>
      <c r="M386" s="72"/>
      <c r="N386" s="72"/>
      <c r="O386" s="72"/>
      <c r="P386" s="76" t="str">
        <f>CONCATENATE("selected-at(${",E384,"}, position(..)-1)")</f>
        <v>selected-at(${s29q243_antibiotics}, position(..)-1)</v>
      </c>
      <c r="Q386" s="72"/>
      <c r="R386" s="72"/>
      <c r="S386" s="75"/>
    </row>
    <row r="387" spans="1:19" x14ac:dyDescent="0.2">
      <c r="A387" s="71" t="s">
        <v>127</v>
      </c>
      <c r="B387" s="72" t="s">
        <v>784</v>
      </c>
      <c r="C387" s="72" t="s">
        <v>130</v>
      </c>
      <c r="D387" s="72" t="s">
        <v>806</v>
      </c>
      <c r="E387" s="73" t="str">
        <f t="shared" si="44"/>
        <v>s29c2_cur_comm_finisher_ab_name</v>
      </c>
      <c r="F387" s="72"/>
      <c r="G387" s="72"/>
      <c r="H387" s="72"/>
      <c r="I387" s="72"/>
      <c r="J387" s="72"/>
      <c r="K387" s="72"/>
      <c r="L387" s="72"/>
      <c r="M387" s="72"/>
      <c r="N387" s="72"/>
      <c r="O387" s="72"/>
      <c r="P387" s="76" t="str">
        <f>CONCATENATE("if(string-length(../",E386,") != 0,jr:choice-name(${",E386,"},'${",E384,"}'),'unknown')")</f>
        <v>if(string-length(../s29c1_cur_comm_finisher_ab) != 0,jr:choice-name(${s29c1_cur_comm_finisher_ab},'${s29q243_antibiotics}'),'unknown')</v>
      </c>
      <c r="Q387" s="72"/>
      <c r="R387" s="72"/>
      <c r="S387" s="75"/>
    </row>
    <row r="388" spans="1:19" x14ac:dyDescent="0.2">
      <c r="A388" s="71" t="s">
        <v>41</v>
      </c>
      <c r="B388" s="72" t="s">
        <v>784</v>
      </c>
      <c r="C388" s="72" t="s">
        <v>43</v>
      </c>
      <c r="D388" s="72" t="s">
        <v>807</v>
      </c>
      <c r="E388" s="73" t="str">
        <f t="shared" si="44"/>
        <v>s29_grp_comm_finisher_abs</v>
      </c>
      <c r="F388" s="72" t="s">
        <v>2413</v>
      </c>
      <c r="G388" s="72" t="str">
        <f>CONCATENATE(UPPER(B388),UPPER(C388),": ",F388)</f>
        <v>S29: Thông tin chi tiết về thuốc kháng sinh</v>
      </c>
      <c r="H388" s="72"/>
      <c r="I388" s="72"/>
      <c r="J388" s="72"/>
      <c r="K388" s="72"/>
      <c r="L388" s="72"/>
      <c r="M388" s="72"/>
      <c r="N388" s="72"/>
      <c r="O388" s="74"/>
      <c r="P388" s="72"/>
      <c r="Q388" s="72"/>
      <c r="R388" s="72"/>
      <c r="S388" s="75"/>
    </row>
    <row r="389" spans="1:19" x14ac:dyDescent="0.2">
      <c r="A389" s="72" t="s">
        <v>628</v>
      </c>
      <c r="B389" s="72" t="s">
        <v>784</v>
      </c>
      <c r="C389" s="72" t="s">
        <v>808</v>
      </c>
      <c r="D389" s="72" t="s">
        <v>630</v>
      </c>
      <c r="E389" s="73" t="str">
        <f t="shared" si="44"/>
        <v>s29q244_how_ab_combined</v>
      </c>
      <c r="F389" s="72" t="str">
        <f>CONCATENATE("Loại &lt;span style='color:blue;'&gt;${",E387,"}&lt;/span&gt; là ở dạng đơn hay ở dạng hỗn hợp với các loại kháng sinh khác?")</f>
        <v>Loại &lt;span style='color:blue;'&gt;${s29c2_cur_comm_finisher_ab_name}&lt;/span&gt; là ở dạng đơn hay ở dạng hỗn hợp với các loại kháng sinh khác?</v>
      </c>
      <c r="G389" s="72" t="str">
        <f>CONCATENATE(UPPER(B389),UPPER(C389),": ",F389)</f>
        <v>S29Q244: Loại &lt;span style='color:blue;'&gt;${s29c2_cur_comm_finisher_ab_name}&lt;/span&gt; là ở dạng đơn hay ở dạng hỗn hợp với các loại kháng sinh khác?</v>
      </c>
      <c r="H389" s="72"/>
      <c r="I389" s="72"/>
      <c r="J389" s="72"/>
      <c r="K389" s="72" t="s">
        <v>40</v>
      </c>
      <c r="L389" s="72" t="s">
        <v>50</v>
      </c>
      <c r="M389" s="72"/>
      <c r="N389" s="72"/>
      <c r="O389" s="72"/>
      <c r="P389" s="72"/>
      <c r="Q389" s="72"/>
      <c r="R389" s="72"/>
      <c r="S389" s="72"/>
    </row>
    <row r="390" spans="1:19" x14ac:dyDescent="0.2">
      <c r="A390" s="72" t="s">
        <v>619</v>
      </c>
      <c r="B390" s="72" t="s">
        <v>784</v>
      </c>
      <c r="C390" s="72" t="s">
        <v>809</v>
      </c>
      <c r="D390" s="72" t="s">
        <v>632</v>
      </c>
      <c r="E390" s="73" t="str">
        <f t="shared" si="44"/>
        <v>s29q245_ab_combined</v>
      </c>
      <c r="F390" s="72" t="str">
        <f>CONCATENATE("Chọn loại kháng sinh phối/hỗn hợp cùng với &lt;span style='color:blue;'&gt;${",E387,"}&lt;/span&gt;")</f>
        <v>Chọn loại kháng sinh phối/hỗn hợp cùng với &lt;span style='color:blue;'&gt;${s29c2_cur_comm_finisher_ab_name}&lt;/span&gt;</v>
      </c>
      <c r="G390" s="72" t="str">
        <f>CONCATENATE(UPPER(B390),UPPER(C390),": ",F390)</f>
        <v>S29Q245: Chọn loại kháng sinh phối/hỗn hợp cùng với &lt;span style='color:blue;'&gt;${s29c2_cur_comm_finisher_ab_name}&lt;/span&gt;</v>
      </c>
      <c r="H390" s="72"/>
      <c r="I390" s="72"/>
      <c r="J390" s="72"/>
      <c r="K390" s="72" t="s">
        <v>40</v>
      </c>
      <c r="L390" s="72"/>
      <c r="M390" s="72" t="str">
        <f>CONCATENATE("selected(${",E389,"},'combined')")</f>
        <v>selected(${s29q244_how_ab_combined},'combined')</v>
      </c>
      <c r="N390" s="72"/>
      <c r="O390" s="72"/>
      <c r="P390" s="72"/>
      <c r="Q390" s="72"/>
      <c r="R390" s="72"/>
      <c r="S390" s="72"/>
    </row>
    <row r="391" spans="1:19" x14ac:dyDescent="0.2">
      <c r="A391" s="71" t="s">
        <v>633</v>
      </c>
      <c r="B391" s="72" t="s">
        <v>784</v>
      </c>
      <c r="C391" s="72" t="s">
        <v>810</v>
      </c>
      <c r="D391" s="72" t="s">
        <v>635</v>
      </c>
      <c r="E391" s="73" t="str">
        <f t="shared" ref="E391:E396" si="45">CONCATENATE(B391,C391,"_",D391)</f>
        <v>s29q246_purpose</v>
      </c>
      <c r="F391" s="72" t="str">
        <f>CONCATENATE("Ông/bà dùng &lt;span style='color:blue;'&gt;${",E387,"}&lt;/span&gt; cho mục đích gì?")</f>
        <v>Ông/bà dùng &lt;span style='color:blue;'&gt;${s29c2_cur_comm_finisher_ab_name}&lt;/span&gt; cho mục đích gì?</v>
      </c>
      <c r="G391" s="72" t="str">
        <f t="shared" ref="G391:G396" si="46">CONCATENATE(UPPER(B391),UPPER(C391),": ",F391)</f>
        <v>S29Q246: Ông/bà dùng &lt;span style='color:blue;'&gt;${s29c2_cur_comm_finisher_ab_name}&lt;/span&gt; cho mục đích gì?</v>
      </c>
      <c r="H391" s="72"/>
      <c r="I391" s="72"/>
      <c r="J391" s="72"/>
      <c r="K391" s="72" t="s">
        <v>40</v>
      </c>
      <c r="L391" s="72"/>
      <c r="M391" s="72"/>
      <c r="N391" s="72"/>
      <c r="O391" s="72"/>
      <c r="P391" s="72"/>
      <c r="Q391" s="72"/>
      <c r="R391" s="72"/>
      <c r="S391" s="75"/>
    </row>
    <row r="392" spans="1:19" x14ac:dyDescent="0.2">
      <c r="A392" s="71" t="s">
        <v>636</v>
      </c>
      <c r="B392" s="72" t="s">
        <v>784</v>
      </c>
      <c r="C392" s="72" t="s">
        <v>811</v>
      </c>
      <c r="D392" s="72" t="s">
        <v>638</v>
      </c>
      <c r="E392" s="73" t="str">
        <f t="shared" si="45"/>
        <v>s29q247_use_reason</v>
      </c>
      <c r="F392" s="72" t="str">
        <f>CONCATENATE("Vì sao ông/bà quyết định sử dụng loại &lt;span style='color:blue;'&gt;${",E387,"}&lt;/span&gt; này?")</f>
        <v>Vì sao ông/bà quyết định sử dụng loại &lt;span style='color:blue;'&gt;${s29c2_cur_comm_finisher_ab_name}&lt;/span&gt; này?</v>
      </c>
      <c r="G392" s="72" t="str">
        <f t="shared" si="46"/>
        <v>S29Q247: Vì sao ông/bà quyết định sử dụng loại &lt;span style='color:blue;'&gt;${s29c2_cur_comm_finisher_ab_name}&lt;/span&gt; này?</v>
      </c>
      <c r="H392" s="72"/>
      <c r="I392" s="72"/>
      <c r="J392" s="72"/>
      <c r="K392" s="72" t="s">
        <v>40</v>
      </c>
      <c r="L392" s="72"/>
      <c r="M392" s="72"/>
      <c r="N392" s="72"/>
      <c r="O392" s="72"/>
      <c r="P392" s="72"/>
      <c r="Q392" s="72"/>
      <c r="R392" s="72"/>
      <c r="S392" s="75"/>
    </row>
    <row r="393" spans="1:19" x14ac:dyDescent="0.2">
      <c r="A393" s="71" t="s">
        <v>639</v>
      </c>
      <c r="B393" s="72" t="s">
        <v>784</v>
      </c>
      <c r="C393" s="72" t="s">
        <v>812</v>
      </c>
      <c r="D393" s="72" t="s">
        <v>641</v>
      </c>
      <c r="E393" s="73" t="str">
        <f t="shared" si="45"/>
        <v>s29q248_source</v>
      </c>
      <c r="F393" s="72" t="str">
        <f>CONCATENATE("Ông/bà mua &lt;span style='color:blue;'&gt;${",E387,"}&lt;/span&gt; đó ở đâu?")</f>
        <v>Ông/bà mua &lt;span style='color:blue;'&gt;${s29c2_cur_comm_finisher_ab_name}&lt;/span&gt; đó ở đâu?</v>
      </c>
      <c r="G393" s="72" t="str">
        <f t="shared" si="46"/>
        <v>S29Q248: Ông/bà mua &lt;span style='color:blue;'&gt;${s29c2_cur_comm_finisher_ab_name}&lt;/span&gt; đó ở đâu?</v>
      </c>
      <c r="H393" s="72"/>
      <c r="I393" s="72"/>
      <c r="J393" s="72"/>
      <c r="K393" s="72" t="s">
        <v>40</v>
      </c>
      <c r="L393" s="72"/>
      <c r="M393" s="72"/>
      <c r="N393" s="72"/>
      <c r="O393" s="72"/>
      <c r="P393" s="72"/>
      <c r="Q393" s="72"/>
      <c r="R393" s="72"/>
      <c r="S393" s="75"/>
    </row>
    <row r="394" spans="1:19" x14ac:dyDescent="0.2">
      <c r="A394" s="71" t="s">
        <v>645</v>
      </c>
      <c r="B394" s="72" t="s">
        <v>784</v>
      </c>
      <c r="C394" s="72" t="s">
        <v>813</v>
      </c>
      <c r="D394" s="72" t="s">
        <v>647</v>
      </c>
      <c r="E394" s="73" t="str">
        <f t="shared" si="45"/>
        <v>s29q249_who_admin</v>
      </c>
      <c r="F394" s="72" t="str">
        <f>CONCATENATE("Ai là người dùng/trộn/tiêm &lt;span style='color:blue;'&gt;${",E387,"}&lt;/span&gt;đó cho đàn gà?")</f>
        <v>Ai là người dùng/trộn/tiêm &lt;span style='color:blue;'&gt;${s29c2_cur_comm_finisher_ab_name}&lt;/span&gt;đó cho đàn gà?</v>
      </c>
      <c r="G394" s="72" t="str">
        <f t="shared" si="46"/>
        <v>S29Q249: Ai là người dùng/trộn/tiêm &lt;span style='color:blue;'&gt;${s29c2_cur_comm_finisher_ab_name}&lt;/span&gt;đó cho đàn gà?</v>
      </c>
      <c r="H394" s="72"/>
      <c r="I394" s="72"/>
      <c r="J394" s="72"/>
      <c r="K394" s="72" t="s">
        <v>40</v>
      </c>
      <c r="L394" s="72"/>
      <c r="M394" s="72"/>
      <c r="N394" s="72"/>
      <c r="O394" s="72"/>
      <c r="P394" s="72"/>
      <c r="Q394" s="72"/>
      <c r="R394" s="72"/>
      <c r="S394" s="75"/>
    </row>
    <row r="395" spans="1:19" x14ac:dyDescent="0.2">
      <c r="A395" s="71" t="s">
        <v>648</v>
      </c>
      <c r="B395" s="72" t="s">
        <v>784</v>
      </c>
      <c r="C395" s="72" t="s">
        <v>814</v>
      </c>
      <c r="D395" s="72" t="s">
        <v>650</v>
      </c>
      <c r="E395" s="73" t="str">
        <f t="shared" si="45"/>
        <v>s29q250_how_knowhow</v>
      </c>
      <c r="F395" s="72" t="str">
        <f>CONCATENATE("Làm thế nào ông/bà hay họ biết cách sử dụng loại &lt;span style='color:blue;'&gt;${",E387,"}&lt;/span&gt; đó?")</f>
        <v>Làm thế nào ông/bà hay họ biết cách sử dụng loại &lt;span style='color:blue;'&gt;${s29c2_cur_comm_finisher_ab_name}&lt;/span&gt; đó?</v>
      </c>
      <c r="G395" s="72" t="str">
        <f t="shared" si="46"/>
        <v>S29Q250: Làm thế nào ông/bà hay họ biết cách sử dụng loại &lt;span style='color:blue;'&gt;${s29c2_cur_comm_finisher_ab_name}&lt;/span&gt; đó?</v>
      </c>
      <c r="H395" s="72"/>
      <c r="I395" s="72"/>
      <c r="J395" s="72"/>
      <c r="K395" s="72" t="s">
        <v>40</v>
      </c>
      <c r="L395" s="72"/>
      <c r="M395" s="72" t="str">
        <f>CONCATENATE("selected(${",E394,"},'myself') or selected(${",E394,"},'farm_worker') or selected(${",E394,"},'friends')")</f>
        <v>selected(${s29q249_who_admin},'myself') or selected(${s29q249_who_admin},'farm_worker') or selected(${s29q249_who_admin},'friends')</v>
      </c>
      <c r="N395" s="72"/>
      <c r="O395" s="72"/>
      <c r="P395" s="72"/>
      <c r="Q395" s="72"/>
      <c r="R395" s="72"/>
      <c r="S395" s="75"/>
    </row>
    <row r="396" spans="1:19" x14ac:dyDescent="0.2">
      <c r="A396" s="71" t="s">
        <v>88</v>
      </c>
      <c r="B396" s="72" t="s">
        <v>784</v>
      </c>
      <c r="C396" s="72" t="s">
        <v>815</v>
      </c>
      <c r="D396" s="72" t="s">
        <v>652</v>
      </c>
      <c r="E396" s="73" t="str">
        <f t="shared" si="45"/>
        <v>s29q251_no_occassions</v>
      </c>
      <c r="F396" s="72" t="str">
        <f>CONCATENATE("Ông/bà dùng &lt;span style='color:blue;'&gt;${",E387,"}&lt;/span&gt; cho đàn gà của mình bao nhiêu lần?")</f>
        <v>Ông/bà dùng &lt;span style='color:blue;'&gt;${s29c2_cur_comm_finisher_ab_name}&lt;/span&gt; cho đàn gà của mình bao nhiêu lần?</v>
      </c>
      <c r="G396" s="72" t="str">
        <f t="shared" si="46"/>
        <v>S29Q251: Ông/bà dùng &lt;span style='color:blue;'&gt;${s29c2_cur_comm_finisher_ab_name}&lt;/span&gt; cho đàn gà của mình bao nhiêu lần?</v>
      </c>
      <c r="H396" s="72"/>
      <c r="I396" s="72" t="s">
        <v>184</v>
      </c>
      <c r="J396" s="72"/>
      <c r="K396" s="72" t="s">
        <v>40</v>
      </c>
      <c r="L396" s="72"/>
      <c r="M396" s="72"/>
      <c r="N396" s="72"/>
      <c r="O396" s="72"/>
      <c r="P396" s="72"/>
      <c r="Q396" s="72"/>
      <c r="R396" s="72"/>
      <c r="S396" s="75"/>
    </row>
    <row r="397" spans="1:19" x14ac:dyDescent="0.2">
      <c r="A397" s="62" t="s">
        <v>74</v>
      </c>
      <c r="C397" s="4" t="s">
        <v>43</v>
      </c>
      <c r="S397" s="63"/>
    </row>
    <row r="398" spans="1:19" x14ac:dyDescent="0.2">
      <c r="A398" s="71" t="s">
        <v>123</v>
      </c>
      <c r="B398" s="72" t="s">
        <v>784</v>
      </c>
      <c r="C398" s="72" t="s">
        <v>43</v>
      </c>
      <c r="D398" s="72" t="s">
        <v>816</v>
      </c>
      <c r="E398" s="73" t="str">
        <f>CONCATENATE(B398,C398,"_",D398)</f>
        <v>s29_rpt_comm_finisher_ab_occ</v>
      </c>
      <c r="F398" s="72" t="s">
        <v>654</v>
      </c>
      <c r="G398" s="72" t="str">
        <f>CONCATENATE(UPPER(B398),UPPER(C398),": ",F398)</f>
        <v>S29: Chi tiết các lần dùng</v>
      </c>
      <c r="H398" s="72"/>
      <c r="I398" s="72"/>
      <c r="J398" s="72"/>
      <c r="K398" s="72"/>
      <c r="L398" s="72"/>
      <c r="M398" s="72"/>
      <c r="N398" s="72"/>
      <c r="O398" s="72" t="str">
        <f>CONCATENATE("${",E396,"}")</f>
        <v>${s29q251_no_occassions}</v>
      </c>
      <c r="P398" s="72"/>
      <c r="Q398" s="72"/>
      <c r="R398" s="72"/>
      <c r="S398" s="75"/>
    </row>
    <row r="399" spans="1:19" x14ac:dyDescent="0.2">
      <c r="A399" s="71" t="s">
        <v>127</v>
      </c>
      <c r="B399" s="72" t="s">
        <v>655</v>
      </c>
      <c r="C399" s="72" t="s">
        <v>128</v>
      </c>
      <c r="D399" s="72" t="s">
        <v>817</v>
      </c>
      <c r="E399" s="73" t="str">
        <f>CONCATENATE(B399,C399,"_",D399)</f>
        <v>s36c1_cur_rpt_comm_finisher_ab_name</v>
      </c>
      <c r="F399" s="72"/>
      <c r="G399" s="72"/>
      <c r="H399" s="72"/>
      <c r="I399" s="72"/>
      <c r="J399" s="72"/>
      <c r="K399" s="72"/>
      <c r="L399" s="72"/>
      <c r="M399" s="72"/>
      <c r="N399" s="72"/>
      <c r="O399" s="72"/>
      <c r="P399" s="72" t="str">
        <f>CONCATENATE("${",E387,"}")</f>
        <v>${s29c2_cur_comm_finisher_ab_name}</v>
      </c>
      <c r="Q399" s="72"/>
      <c r="R399" s="72"/>
      <c r="S399" s="75"/>
    </row>
    <row r="400" spans="1:19" x14ac:dyDescent="0.2">
      <c r="A400" s="71" t="s">
        <v>127</v>
      </c>
      <c r="B400" s="72" t="s">
        <v>784</v>
      </c>
      <c r="C400" s="72" t="s">
        <v>128</v>
      </c>
      <c r="D400" s="72" t="s">
        <v>818</v>
      </c>
      <c r="E400" s="73" t="str">
        <f>CONCATENATE(B400,C400,"_",D400)</f>
        <v>s29c1_cur_comm_finisher_ab_occassion</v>
      </c>
      <c r="F400" s="72"/>
      <c r="G400" s="72"/>
      <c r="H400" s="72"/>
      <c r="I400" s="72"/>
      <c r="J400" s="72"/>
      <c r="K400" s="72"/>
      <c r="L400" s="72"/>
      <c r="M400" s="72"/>
      <c r="N400" s="72"/>
      <c r="O400" s="72"/>
      <c r="P400" s="72" t="s">
        <v>658</v>
      </c>
      <c r="Q400" s="72"/>
      <c r="R400" s="72"/>
      <c r="S400" s="75"/>
    </row>
    <row r="401" spans="1:19" x14ac:dyDescent="0.2">
      <c r="A401" s="71" t="s">
        <v>88</v>
      </c>
      <c r="B401" s="72" t="s">
        <v>784</v>
      </c>
      <c r="C401" s="72" t="s">
        <v>819</v>
      </c>
      <c r="D401" s="72" t="s">
        <v>660</v>
      </c>
      <c r="E401" s="73" t="str">
        <f>CONCATENATE(B401,C401,"_",D401)</f>
        <v>s29q252_birds_age</v>
      </c>
      <c r="F401" s="72" t="str">
        <f>CONCATENATE("Ông/bà dùng &lt;span style='color:blue;'&gt;${",E399,"}&lt;/span&gt; vào &lt;span style='color:blue;'&gt;${",E400,"}&lt;/span&gt; cho đàn gà của mình vào giai đoạn tuổi nào? (Lưu ý: tính theo tuần tuổi)")</f>
        <v>Ông/bà dùng &lt;span style='color:blue;'&gt;${s36c1_cur_rpt_comm_finisher_ab_name}&lt;/span&gt; vào &lt;span style='color:blue;'&gt;${s29c1_cur_comm_finisher_ab_occassion}&lt;/span&gt; cho đàn gà của mình vào giai đoạn tuổi nào? (Lưu ý: tính theo tuần tuổi)</v>
      </c>
      <c r="G401" s="72" t="str">
        <f>CONCATENATE(UPPER(B401),UPPER(C401),": ",F401)</f>
        <v>S29Q252: Ông/bà dùng &lt;span style='color:blue;'&gt;${s36c1_cur_rpt_comm_finisher_ab_name}&lt;/span&gt; vào &lt;span style='color:blue;'&gt;${s29c1_cur_comm_finisher_ab_occassion}&lt;/span&gt; cho đàn gà của mình vào giai đoạn tuổi nào? (Lưu ý: tính theo tuần tuổi)</v>
      </c>
      <c r="H401" s="72" t="s">
        <v>2420</v>
      </c>
      <c r="I401" s="72" t="s">
        <v>106</v>
      </c>
      <c r="J401" s="72"/>
      <c r="K401" s="72" t="s">
        <v>40</v>
      </c>
      <c r="L401" s="72"/>
      <c r="M401" s="72"/>
      <c r="N401" s="72"/>
      <c r="O401" s="72"/>
      <c r="P401" s="72"/>
      <c r="Q401" s="72"/>
      <c r="R401" s="72"/>
      <c r="S401" s="75"/>
    </row>
    <row r="402" spans="1:19" x14ac:dyDescent="0.2">
      <c r="A402" s="71" t="s">
        <v>88</v>
      </c>
      <c r="B402" s="72" t="s">
        <v>784</v>
      </c>
      <c r="C402" s="72" t="s">
        <v>820</v>
      </c>
      <c r="D402" s="72" t="s">
        <v>598</v>
      </c>
      <c r="E402" s="73" t="str">
        <f>CONCATENATE(B402,C402,"_",D402)</f>
        <v>s29q253_cost</v>
      </c>
      <c r="F402" s="72" t="str">
        <f>CONCATENATE("Chi phí cho &lt;span style='color:blue;'&gt;${",E399,"}&lt;/span&gt; lần dùng &lt;span style='color:blue;'&gt;${",E400,"}&lt;/span&gt; đó là khoảng bao nhiêu? (Lưu ý: tính bằng nghìn VNĐ)")</f>
        <v>Chi phí cho &lt;span style='color:blue;'&gt;${s36c1_cur_rpt_comm_finisher_ab_name}&lt;/span&gt; lần dùng &lt;span style='color:blue;'&gt;${s29c1_cur_comm_finisher_ab_occassion}&lt;/span&gt; đó là khoảng bao nhiêu? (Lưu ý: tính bằng nghìn VNĐ)</v>
      </c>
      <c r="G402" s="72" t="str">
        <f>CONCATENATE(UPPER(B402),UPPER(C402),": ",F402)</f>
        <v>S29Q253: Chi phí cho &lt;span style='color:blue;'&gt;${s36c1_cur_rpt_comm_finisher_ab_name}&lt;/span&gt; lần dùng &lt;span style='color:blue;'&gt;${s29c1_cur_comm_finisher_ab_occassion}&lt;/span&gt; đó là khoảng bao nhiêu? (Lưu ý: tính bằng nghìn VNĐ)</v>
      </c>
      <c r="H402" s="72" t="s">
        <v>2617</v>
      </c>
      <c r="I402" s="72" t="s">
        <v>106</v>
      </c>
      <c r="J402" s="72"/>
      <c r="K402" s="72" t="s">
        <v>40</v>
      </c>
      <c r="L402" s="72"/>
      <c r="M402" s="72"/>
      <c r="N402" s="72"/>
      <c r="O402" s="72"/>
      <c r="P402" s="72"/>
      <c r="Q402" s="72"/>
      <c r="R402" s="72"/>
      <c r="S402" s="75"/>
    </row>
    <row r="403" spans="1:19" x14ac:dyDescent="0.2">
      <c r="A403" s="62" t="s">
        <v>147</v>
      </c>
      <c r="C403" s="4" t="s">
        <v>43</v>
      </c>
      <c r="S403" s="63"/>
    </row>
    <row r="404" spans="1:19" ht="12.75" thickBot="1" x14ac:dyDescent="0.25">
      <c r="A404" s="64" t="s">
        <v>147</v>
      </c>
      <c r="B404" s="65"/>
      <c r="C404" s="65" t="s">
        <v>43</v>
      </c>
      <c r="D404" s="65"/>
      <c r="E404" s="65"/>
      <c r="F404" s="65"/>
      <c r="G404" s="65"/>
      <c r="H404" s="65"/>
      <c r="I404" s="65"/>
      <c r="J404" s="65"/>
      <c r="K404" s="65"/>
      <c r="L404" s="65"/>
      <c r="M404" s="65"/>
      <c r="N404" s="65"/>
      <c r="O404" s="65"/>
      <c r="P404" s="65"/>
      <c r="Q404" s="65"/>
      <c r="R404" s="65"/>
      <c r="S404" s="66"/>
    </row>
    <row r="405" spans="1:19" x14ac:dyDescent="0.2">
      <c r="A405" s="52" t="s">
        <v>662</v>
      </c>
      <c r="B405" s="53" t="s">
        <v>784</v>
      </c>
      <c r="C405" s="53" t="s">
        <v>821</v>
      </c>
      <c r="D405" s="53" t="s">
        <v>664</v>
      </c>
      <c r="E405" s="54" t="str">
        <f>CONCATENATE(B405,C405,"_",D405)</f>
        <v>s29q254_vitamins</v>
      </c>
      <c r="F405" s="53" t="s">
        <v>2418</v>
      </c>
      <c r="G405" s="53" t="str">
        <f>CONCATENATE(UPPER(B405),UPPER(C405),": ",F405)</f>
        <v xml:space="preserve">S29Q254: Ông/bà có bổ sung loại vitamin nào không? </v>
      </c>
      <c r="H405" s="53"/>
      <c r="I405" s="53"/>
      <c r="J405" s="53"/>
      <c r="K405" s="53" t="s">
        <v>40</v>
      </c>
      <c r="L405" s="53" t="s">
        <v>624</v>
      </c>
      <c r="M405" s="53" t="str">
        <f>CONCATENATE("selected(${",E382,"},'vitamins')")</f>
        <v>selected(${s29q242_comm_finisher_addons},'vitamins')</v>
      </c>
      <c r="N405" s="53"/>
      <c r="O405" s="53"/>
      <c r="P405" s="53"/>
      <c r="Q405" s="53"/>
      <c r="R405" s="53"/>
      <c r="S405" s="55"/>
    </row>
    <row r="406" spans="1:19" x14ac:dyDescent="0.2">
      <c r="A406" s="56" t="s">
        <v>123</v>
      </c>
      <c r="B406" s="57" t="s">
        <v>784</v>
      </c>
      <c r="C406" s="57" t="s">
        <v>43</v>
      </c>
      <c r="D406" s="57" t="s">
        <v>822</v>
      </c>
      <c r="E406" s="58" t="str">
        <f>CONCATENATE(B406,C406,"_",D406)</f>
        <v>s29_rpt_comm_finisher_vitamins</v>
      </c>
      <c r="F406" s="57" t="s">
        <v>2419</v>
      </c>
      <c r="G406" s="57" t="str">
        <f>CONCATENATE(UPPER(B406),UPPER(C406),": ",F406)</f>
        <v>S29: Vitamin</v>
      </c>
      <c r="H406" s="57"/>
      <c r="I406" s="57"/>
      <c r="J406" s="57"/>
      <c r="K406" s="57"/>
      <c r="L406" s="57"/>
      <c r="M406" s="57" t="str">
        <f>CONCATENATE("selected(${",E382,"},'vitamins')")</f>
        <v>selected(${s29q242_comm_finisher_addons},'vitamins')</v>
      </c>
      <c r="N406" s="57"/>
      <c r="O406" s="59" t="str">
        <f>CONCATENATE("count-selected(${",E405,"})")</f>
        <v>count-selected(${s29q254_vitamins})</v>
      </c>
      <c r="P406" s="57"/>
      <c r="Q406" s="57"/>
      <c r="R406" s="57"/>
      <c r="S406" s="60"/>
    </row>
    <row r="407" spans="1:19" x14ac:dyDescent="0.2">
      <c r="A407" s="56" t="s">
        <v>127</v>
      </c>
      <c r="B407" s="57" t="s">
        <v>784</v>
      </c>
      <c r="C407" s="57" t="s">
        <v>128</v>
      </c>
      <c r="D407" s="57" t="s">
        <v>823</v>
      </c>
      <c r="E407" s="58" t="str">
        <f>CONCATENATE(B407,C407,"_",D407)</f>
        <v>s29c1_cur_comm_finisher_vitamin</v>
      </c>
      <c r="F407" s="57"/>
      <c r="G407" s="57"/>
      <c r="H407" s="57"/>
      <c r="I407" s="57"/>
      <c r="J407" s="57"/>
      <c r="K407" s="57"/>
      <c r="L407" s="57"/>
      <c r="M407" s="57"/>
      <c r="N407" s="57"/>
      <c r="O407" s="57"/>
      <c r="P407" s="61" t="str">
        <f>CONCATENATE("selected-at(${",E405,"}, position(..)-1)")</f>
        <v>selected-at(${s29q254_vitamins}, position(..)-1)</v>
      </c>
      <c r="Q407" s="57"/>
      <c r="R407" s="57"/>
      <c r="S407" s="60"/>
    </row>
    <row r="408" spans="1:19" x14ac:dyDescent="0.2">
      <c r="A408" s="56" t="s">
        <v>127</v>
      </c>
      <c r="B408" s="57" t="s">
        <v>784</v>
      </c>
      <c r="C408" s="57" t="s">
        <v>130</v>
      </c>
      <c r="D408" s="57" t="s">
        <v>824</v>
      </c>
      <c r="E408" s="58" t="str">
        <f>CONCATENATE(B408,C408,"_",D408)</f>
        <v>s29c2_cur_comm_finisher_vitamin_name</v>
      </c>
      <c r="F408" s="57"/>
      <c r="G408" s="57"/>
      <c r="H408" s="57"/>
      <c r="I408" s="57"/>
      <c r="J408" s="57"/>
      <c r="K408" s="57"/>
      <c r="L408" s="57"/>
      <c r="M408" s="57"/>
      <c r="N408" s="57"/>
      <c r="O408" s="57"/>
      <c r="P408" s="61" t="str">
        <f>CONCATENATE("if(string-length(../",E407,") != 0,jr:choice-name(${",E407,"},'${",E405,"}'),'unknown')")</f>
        <v>if(string-length(../s29c1_cur_comm_finisher_vitamin) != 0,jr:choice-name(${s29c1_cur_comm_finisher_vitamin},'${s29q254_vitamins}'),'unknown')</v>
      </c>
      <c r="Q408" s="57"/>
      <c r="R408" s="57"/>
      <c r="S408" s="60"/>
    </row>
    <row r="409" spans="1:19" x14ac:dyDescent="0.2">
      <c r="A409" s="56" t="s">
        <v>41</v>
      </c>
      <c r="B409" s="57" t="s">
        <v>784</v>
      </c>
      <c r="C409" s="57" t="s">
        <v>43</v>
      </c>
      <c r="D409" s="57" t="s">
        <v>825</v>
      </c>
      <c r="E409" s="58" t="str">
        <f>CONCATENATE(B409,C409,"_",D409)</f>
        <v>s29_grp_comm_finisher_vitamin</v>
      </c>
      <c r="F409" s="57" t="s">
        <v>667</v>
      </c>
      <c r="G409" s="57" t="str">
        <f>CONCATENATE(UPPER(B409),UPPER(C409),": ",F409)</f>
        <v>S29: Thông tin chi tiết về Vitamin</v>
      </c>
      <c r="H409" s="57"/>
      <c r="I409" s="57"/>
      <c r="J409" s="57"/>
      <c r="K409" s="57"/>
      <c r="L409" s="57"/>
      <c r="M409" s="57"/>
      <c r="N409" s="57"/>
      <c r="O409" s="59"/>
      <c r="P409" s="57"/>
      <c r="Q409" s="57"/>
      <c r="R409" s="57"/>
      <c r="S409" s="60"/>
    </row>
    <row r="410" spans="1:19" x14ac:dyDescent="0.2">
      <c r="A410" s="56" t="s">
        <v>633</v>
      </c>
      <c r="B410" s="57" t="s">
        <v>784</v>
      </c>
      <c r="C410" s="57" t="s">
        <v>826</v>
      </c>
      <c r="D410" s="57" t="s">
        <v>635</v>
      </c>
      <c r="E410" s="58" t="str">
        <f t="shared" ref="E410:E415" si="47">CONCATENATE(B410,C410,"_",D410)</f>
        <v>s29q255_purpose</v>
      </c>
      <c r="F410" s="57" t="str">
        <f>CONCATENATE("Ông/bà dùng &lt;span style='color:blue;'&gt;${",E408,"}&lt;/span&gt; cho mục đích gì? ")</f>
        <v xml:space="preserve">Ông/bà dùng &lt;span style='color:blue;'&gt;${s29c2_cur_comm_finisher_vitamin_name}&lt;/span&gt; cho mục đích gì? </v>
      </c>
      <c r="G410" s="57" t="str">
        <f t="shared" ref="G410:G415" si="48">CONCATENATE(UPPER(B410),UPPER(C410),": ",F410)</f>
        <v xml:space="preserve">S29Q255: Ông/bà dùng &lt;span style='color:blue;'&gt;${s29c2_cur_comm_finisher_vitamin_name}&lt;/span&gt; cho mục đích gì? </v>
      </c>
      <c r="H410" s="57"/>
      <c r="I410" s="57"/>
      <c r="J410" s="57"/>
      <c r="K410" s="57" t="s">
        <v>40</v>
      </c>
      <c r="L410" s="57"/>
      <c r="M410" s="57"/>
      <c r="N410" s="57"/>
      <c r="O410" s="57"/>
      <c r="P410" s="57"/>
      <c r="Q410" s="57"/>
      <c r="R410" s="57"/>
      <c r="S410" s="60"/>
    </row>
    <row r="411" spans="1:19" x14ac:dyDescent="0.2">
      <c r="A411" s="56" t="s">
        <v>636</v>
      </c>
      <c r="B411" s="57" t="s">
        <v>784</v>
      </c>
      <c r="C411" s="57" t="s">
        <v>827</v>
      </c>
      <c r="D411" s="57" t="s">
        <v>638</v>
      </c>
      <c r="E411" s="58" t="str">
        <f t="shared" si="47"/>
        <v>s29q256_use_reason</v>
      </c>
      <c r="F411" s="57" t="str">
        <f>CONCATENATE("Vì sao ông/bà quyết định sử dụng loại &lt;span style='color:blue;'&gt;${",E408,"}&lt;/span&gt; nào?")</f>
        <v>Vì sao ông/bà quyết định sử dụng loại &lt;span style='color:blue;'&gt;${s29c2_cur_comm_finisher_vitamin_name}&lt;/span&gt; nào?</v>
      </c>
      <c r="G411" s="57" t="str">
        <f t="shared" si="48"/>
        <v>S29Q256: Vì sao ông/bà quyết định sử dụng loại &lt;span style='color:blue;'&gt;${s29c2_cur_comm_finisher_vitamin_name}&lt;/span&gt; nào?</v>
      </c>
      <c r="H411" s="57"/>
      <c r="I411" s="57"/>
      <c r="J411" s="57"/>
      <c r="K411" s="57" t="s">
        <v>40</v>
      </c>
      <c r="L411" s="57"/>
      <c r="M411" s="57"/>
      <c r="N411" s="57"/>
      <c r="O411" s="57"/>
      <c r="P411" s="57"/>
      <c r="Q411" s="57"/>
      <c r="R411" s="57"/>
      <c r="S411" s="60"/>
    </row>
    <row r="412" spans="1:19" x14ac:dyDescent="0.2">
      <c r="A412" s="56" t="s">
        <v>639</v>
      </c>
      <c r="B412" s="57" t="s">
        <v>784</v>
      </c>
      <c r="C412" s="57" t="s">
        <v>828</v>
      </c>
      <c r="D412" s="57" t="s">
        <v>641</v>
      </c>
      <c r="E412" s="58" t="str">
        <f t="shared" si="47"/>
        <v>s29q257_source</v>
      </c>
      <c r="F412" s="57" t="str">
        <f>CONCATENATE("Ông/bà mua &lt;span style='color:blue;'&gt;${",E408,"}&lt;/span&gt; đó ở đâu?")</f>
        <v>Ông/bà mua &lt;span style='color:blue;'&gt;${s29c2_cur_comm_finisher_vitamin_name}&lt;/span&gt; đó ở đâu?</v>
      </c>
      <c r="G412" s="57" t="str">
        <f t="shared" si="48"/>
        <v>S29Q257: Ông/bà mua &lt;span style='color:blue;'&gt;${s29c2_cur_comm_finisher_vitamin_name}&lt;/span&gt; đó ở đâu?</v>
      </c>
      <c r="H412" s="57"/>
      <c r="I412" s="57"/>
      <c r="J412" s="57"/>
      <c r="K412" s="57" t="s">
        <v>40</v>
      </c>
      <c r="L412" s="57"/>
      <c r="M412" s="57"/>
      <c r="N412" s="57"/>
      <c r="O412" s="57"/>
      <c r="P412" s="57"/>
      <c r="Q412" s="57"/>
      <c r="R412" s="57"/>
      <c r="S412" s="60"/>
    </row>
    <row r="413" spans="1:19" x14ac:dyDescent="0.2">
      <c r="A413" s="56" t="s">
        <v>645</v>
      </c>
      <c r="B413" s="57" t="s">
        <v>784</v>
      </c>
      <c r="C413" s="57" t="s">
        <v>829</v>
      </c>
      <c r="D413" s="57" t="s">
        <v>647</v>
      </c>
      <c r="E413" s="58" t="str">
        <f t="shared" si="47"/>
        <v>s29q258_who_admin</v>
      </c>
      <c r="F413" s="57" t="str">
        <f>CONCATENATE("Ai là người dùng/trộn/tiêm &lt;span style='color:blue;'&gt;${",E408,"}&lt;/span&gt; đó cho đàn gà? (Chọn NHIỀU đáp án phù hợp)?")</f>
        <v>Ai là người dùng/trộn/tiêm &lt;span style='color:blue;'&gt;${s29c2_cur_comm_finisher_vitamin_name}&lt;/span&gt; đó cho đàn gà? (Chọn NHIỀU đáp án phù hợp)?</v>
      </c>
      <c r="G413" s="57" t="str">
        <f t="shared" si="48"/>
        <v>S29Q258: Ai là người dùng/trộn/tiêm &lt;span style='color:blue;'&gt;${s29c2_cur_comm_finisher_vitamin_name}&lt;/span&gt; đó cho đàn gà? (Chọn NHIỀU đáp án phù hợp)?</v>
      </c>
      <c r="H413" s="57"/>
      <c r="I413" s="57"/>
      <c r="J413" s="57"/>
      <c r="K413" s="57" t="s">
        <v>40</v>
      </c>
      <c r="L413" s="57"/>
      <c r="M413" s="57"/>
      <c r="N413" s="57"/>
      <c r="O413" s="57"/>
      <c r="P413" s="57"/>
      <c r="Q413" s="57"/>
      <c r="R413" s="57"/>
      <c r="S413" s="60"/>
    </row>
    <row r="414" spans="1:19" x14ac:dyDescent="0.2">
      <c r="A414" s="56" t="s">
        <v>648</v>
      </c>
      <c r="B414" s="57" t="s">
        <v>784</v>
      </c>
      <c r="C414" s="57" t="s">
        <v>830</v>
      </c>
      <c r="D414" s="57" t="s">
        <v>650</v>
      </c>
      <c r="E414" s="58" t="str">
        <f t="shared" si="47"/>
        <v>s29q259_how_knowhow</v>
      </c>
      <c r="F414" s="57" t="str">
        <f>CONCATENATE("Làm thế nào ông/bà hay họ biết cách sử dụng loại &lt;span style='color:blue;'&gt;${",E408,"}&lt;/span&gt;? (Chọn NHIỀU đáp án phù hợp)")</f>
        <v>Làm thế nào ông/bà hay họ biết cách sử dụng loại &lt;span style='color:blue;'&gt;${s29c2_cur_comm_finisher_vitamin_name}&lt;/span&gt;? (Chọn NHIỀU đáp án phù hợp)</v>
      </c>
      <c r="G414" s="57" t="str">
        <f t="shared" si="48"/>
        <v>S29Q259: Làm thế nào ông/bà hay họ biết cách sử dụng loại &lt;span style='color:blue;'&gt;${s29c2_cur_comm_finisher_vitamin_name}&lt;/span&gt;? (Chọn NHIỀU đáp án phù hợp)</v>
      </c>
      <c r="H414" s="57"/>
      <c r="I414" s="57"/>
      <c r="J414" s="57"/>
      <c r="K414" s="57" t="s">
        <v>40</v>
      </c>
      <c r="L414" s="57"/>
      <c r="M414" s="57" t="str">
        <f>CONCATENATE("selected(${",E413,"},'myself') or selected(${",E413,"},'farm_worker') or selected(${",E413,"},'friends')")</f>
        <v>selected(${s29q258_who_admin},'myself') or selected(${s29q258_who_admin},'farm_worker') or selected(${s29q258_who_admin},'friends')</v>
      </c>
      <c r="N414" s="57"/>
      <c r="O414" s="57"/>
      <c r="P414" s="57"/>
      <c r="Q414" s="57"/>
      <c r="R414" s="57"/>
      <c r="S414" s="60"/>
    </row>
    <row r="415" spans="1:19" x14ac:dyDescent="0.2">
      <c r="A415" s="56" t="s">
        <v>88</v>
      </c>
      <c r="B415" s="57" t="s">
        <v>784</v>
      </c>
      <c r="C415" s="57" t="s">
        <v>831</v>
      </c>
      <c r="D415" s="57" t="s">
        <v>652</v>
      </c>
      <c r="E415" s="58" t="str">
        <f t="shared" si="47"/>
        <v>s29q260_no_occassions</v>
      </c>
      <c r="F415" s="57" t="str">
        <f>CONCATENATE("Ông/bà dùng &lt;span style='color:blue;'&gt;${",E408,"}&lt;/span&gt; cho đàn gà của mình bao nhiêu lần?")</f>
        <v>Ông/bà dùng &lt;span style='color:blue;'&gt;${s29c2_cur_comm_finisher_vitamin_name}&lt;/span&gt; cho đàn gà của mình bao nhiêu lần?</v>
      </c>
      <c r="G415" s="57" t="str">
        <f t="shared" si="48"/>
        <v>S29Q260: Ông/bà dùng &lt;span style='color:blue;'&gt;${s29c2_cur_comm_finisher_vitamin_name}&lt;/span&gt; cho đàn gà của mình bao nhiêu lần?</v>
      </c>
      <c r="H415" s="57"/>
      <c r="I415" s="57" t="s">
        <v>184</v>
      </c>
      <c r="J415" s="57"/>
      <c r="K415" s="57" t="s">
        <v>40</v>
      </c>
      <c r="L415" s="57"/>
      <c r="M415" s="57"/>
      <c r="N415" s="57"/>
      <c r="O415" s="57"/>
      <c r="P415" s="57"/>
      <c r="Q415" s="57"/>
      <c r="R415" s="57"/>
      <c r="S415" s="60"/>
    </row>
    <row r="416" spans="1:19" x14ac:dyDescent="0.2">
      <c r="A416" s="62" t="s">
        <v>74</v>
      </c>
      <c r="C416" s="4" t="s">
        <v>43</v>
      </c>
      <c r="S416" s="63"/>
    </row>
    <row r="417" spans="1:19" x14ac:dyDescent="0.2">
      <c r="A417" s="56" t="s">
        <v>123</v>
      </c>
      <c r="B417" s="57" t="s">
        <v>784</v>
      </c>
      <c r="C417" s="57" t="s">
        <v>43</v>
      </c>
      <c r="D417" s="57" t="s">
        <v>832</v>
      </c>
      <c r="E417" s="58" t="str">
        <f>CONCATENATE(B417,C417,"_",D417)</f>
        <v>s29_rpt_comm_finisher_vit_occ</v>
      </c>
      <c r="F417" s="57" t="s">
        <v>654</v>
      </c>
      <c r="G417" s="57" t="str">
        <f>CONCATENATE(UPPER(B417),UPPER(C417),": ",F417)</f>
        <v>S29: Chi tiết các lần dùng</v>
      </c>
      <c r="H417" s="57"/>
      <c r="I417" s="57"/>
      <c r="J417" s="57"/>
      <c r="K417" s="57"/>
      <c r="L417" s="57"/>
      <c r="M417" s="57"/>
      <c r="N417" s="57"/>
      <c r="O417" s="57" t="str">
        <f>CONCATENATE("${",E415,"}")</f>
        <v>${s29q260_no_occassions}</v>
      </c>
      <c r="P417" s="57"/>
      <c r="Q417" s="57"/>
      <c r="R417" s="57"/>
      <c r="S417" s="60"/>
    </row>
    <row r="418" spans="1:19" x14ac:dyDescent="0.2">
      <c r="A418" s="71" t="s">
        <v>127</v>
      </c>
      <c r="B418" s="72" t="s">
        <v>655</v>
      </c>
      <c r="C418" s="72" t="s">
        <v>128</v>
      </c>
      <c r="D418" s="57" t="s">
        <v>833</v>
      </c>
      <c r="E418" s="73" t="str">
        <f>CONCATENATE(B418,C418,"_",D418)</f>
        <v>s36c1_cur_rpt_comm_finisher_vitamin_name</v>
      </c>
      <c r="F418" s="72"/>
      <c r="G418" s="72"/>
      <c r="H418" s="72"/>
      <c r="I418" s="72"/>
      <c r="J418" s="72"/>
      <c r="K418" s="72"/>
      <c r="L418" s="72"/>
      <c r="M418" s="72"/>
      <c r="N418" s="72"/>
      <c r="O418" s="72"/>
      <c r="P418" s="72" t="str">
        <f>CONCATENATE("${",E408,"}")</f>
        <v>${s29c2_cur_comm_finisher_vitamin_name}</v>
      </c>
      <c r="Q418" s="72"/>
      <c r="R418" s="72"/>
      <c r="S418" s="75"/>
    </row>
    <row r="419" spans="1:19" x14ac:dyDescent="0.2">
      <c r="A419" s="56" t="s">
        <v>127</v>
      </c>
      <c r="B419" s="57" t="s">
        <v>784</v>
      </c>
      <c r="C419" s="57" t="s">
        <v>128</v>
      </c>
      <c r="D419" s="57" t="s">
        <v>834</v>
      </c>
      <c r="E419" s="58" t="str">
        <f>CONCATENATE(B419,C419,"_",D419)</f>
        <v>s29c1_cur_comm_finisher_vit_occassion</v>
      </c>
      <c r="F419" s="57"/>
      <c r="G419" s="57"/>
      <c r="H419" s="57"/>
      <c r="I419" s="57"/>
      <c r="J419" s="57"/>
      <c r="K419" s="57"/>
      <c r="L419" s="57"/>
      <c r="M419" s="57"/>
      <c r="N419" s="57"/>
      <c r="O419" s="57"/>
      <c r="P419" s="57" t="s">
        <v>658</v>
      </c>
      <c r="Q419" s="57"/>
      <c r="R419" s="57"/>
      <c r="S419" s="60"/>
    </row>
    <row r="420" spans="1:19" x14ac:dyDescent="0.2">
      <c r="A420" s="56" t="s">
        <v>88</v>
      </c>
      <c r="B420" s="57" t="s">
        <v>784</v>
      </c>
      <c r="C420" s="57" t="s">
        <v>835</v>
      </c>
      <c r="D420" s="57" t="s">
        <v>660</v>
      </c>
      <c r="E420" s="58" t="str">
        <f>CONCATENATE(B420,C420,"_",D420)</f>
        <v>s29q261_birds_age</v>
      </c>
      <c r="F420" s="57" t="str">
        <f>CONCATENATE("Ông/bà dùng &lt;span style='color:blue;'&gt;${",E418,"}&lt;/span&gt; lần đầu  &lt;span style='color:blue;'&gt;${",E419,"}&lt;/span&gt; cho đàn gà vào giai đoạn tuổi nào? (Lưu ý: tính theo tuần tuổi)?")</f>
        <v>Ông/bà dùng &lt;span style='color:blue;'&gt;${s36c1_cur_rpt_comm_finisher_vitamin_name}&lt;/span&gt; lần đầu  &lt;span style='color:blue;'&gt;${s29c1_cur_comm_finisher_vit_occassion}&lt;/span&gt; cho đàn gà vào giai đoạn tuổi nào? (Lưu ý: tính theo tuần tuổi)?</v>
      </c>
      <c r="G420" s="57" t="str">
        <f>CONCATENATE(UPPER(B420),UPPER(C420),": ",F420)</f>
        <v>S29Q261: Ông/bà dùng &lt;span style='color:blue;'&gt;${s36c1_cur_rpt_comm_finisher_vitamin_name}&lt;/span&gt; lần đầu  &lt;span style='color:blue;'&gt;${s29c1_cur_comm_finisher_vit_occassion}&lt;/span&gt; cho đàn gà vào giai đoạn tuổi nào? (Lưu ý: tính theo tuần tuổi)?</v>
      </c>
      <c r="H420" s="57" t="s">
        <v>2420</v>
      </c>
      <c r="I420" s="57" t="s">
        <v>106</v>
      </c>
      <c r="J420" s="57"/>
      <c r="K420" s="57" t="s">
        <v>40</v>
      </c>
      <c r="L420" s="57"/>
      <c r="M420" s="57"/>
      <c r="N420" s="57"/>
      <c r="O420" s="57"/>
      <c r="P420" s="57"/>
      <c r="Q420" s="57"/>
      <c r="R420" s="57"/>
      <c r="S420" s="60"/>
    </row>
    <row r="421" spans="1:19" x14ac:dyDescent="0.2">
      <c r="A421" s="56" t="s">
        <v>88</v>
      </c>
      <c r="B421" s="57" t="s">
        <v>784</v>
      </c>
      <c r="C421" s="57" t="s">
        <v>836</v>
      </c>
      <c r="D421" s="57" t="s">
        <v>598</v>
      </c>
      <c r="E421" s="58" t="str">
        <f>CONCATENATE(B421,C421,"_",D421)</f>
        <v>s29q262_cost</v>
      </c>
      <c r="F421" s="57" t="str">
        <f>CONCATENATE("Chi phí cho &lt;span style='color:blue;'&gt;${",E418,"}&lt;/span&gt; lần dùng &lt;span style='color:blue;'&gt;${",E419,"}&lt;/span&gt; đó là khoảng bao nhiêu?")</f>
        <v>Chi phí cho &lt;span style='color:blue;'&gt;${s36c1_cur_rpt_comm_finisher_vitamin_name}&lt;/span&gt; lần dùng &lt;span style='color:blue;'&gt;${s29c1_cur_comm_finisher_vit_occassion}&lt;/span&gt; đó là khoảng bao nhiêu?</v>
      </c>
      <c r="G421" s="57" t="str">
        <f>CONCATENATE(UPPER(B421),UPPER(C421),": ",F421)</f>
        <v>S29Q262: Chi phí cho &lt;span style='color:blue;'&gt;${s36c1_cur_rpt_comm_finisher_vitamin_name}&lt;/span&gt; lần dùng &lt;span style='color:blue;'&gt;${s29c1_cur_comm_finisher_vit_occassion}&lt;/span&gt; đó là khoảng bao nhiêu?</v>
      </c>
      <c r="H421" s="57" t="s">
        <v>2617</v>
      </c>
      <c r="I421" s="57" t="s">
        <v>106</v>
      </c>
      <c r="J421" s="57"/>
      <c r="K421" s="57" t="s">
        <v>40</v>
      </c>
      <c r="L421" s="57"/>
      <c r="M421" s="57"/>
      <c r="N421" s="57"/>
      <c r="O421" s="57"/>
      <c r="P421" s="57"/>
      <c r="Q421" s="57"/>
      <c r="R421" s="57"/>
      <c r="S421" s="60"/>
    </row>
    <row r="422" spans="1:19" x14ac:dyDescent="0.2">
      <c r="A422" s="62" t="s">
        <v>147</v>
      </c>
      <c r="C422" s="4" t="s">
        <v>43</v>
      </c>
      <c r="S422" s="63"/>
    </row>
    <row r="423" spans="1:19" ht="12.75" thickBot="1" x14ac:dyDescent="0.25">
      <c r="A423" s="64" t="s">
        <v>147</v>
      </c>
      <c r="B423" s="65"/>
      <c r="C423" s="65" t="s">
        <v>43</v>
      </c>
      <c r="D423" s="65"/>
      <c r="E423" s="65"/>
      <c r="F423" s="65"/>
      <c r="G423" s="65"/>
      <c r="H423" s="65"/>
      <c r="I423" s="65"/>
      <c r="J423" s="65"/>
      <c r="K423" s="65"/>
      <c r="L423" s="65"/>
      <c r="M423" s="65"/>
      <c r="N423" s="65"/>
      <c r="O423" s="65"/>
      <c r="P423" s="65"/>
      <c r="Q423" s="65"/>
      <c r="R423" s="65"/>
      <c r="S423" s="66"/>
    </row>
    <row r="424" spans="1:19" x14ac:dyDescent="0.2">
      <c r="A424" s="4" t="s">
        <v>147</v>
      </c>
      <c r="C424" s="4" t="s">
        <v>43</v>
      </c>
    </row>
    <row r="425" spans="1:19" x14ac:dyDescent="0.2">
      <c r="A425" s="38" t="s">
        <v>41</v>
      </c>
      <c r="B425" s="38" t="s">
        <v>837</v>
      </c>
      <c r="C425" s="38" t="s">
        <v>43</v>
      </c>
      <c r="D425" s="38" t="s">
        <v>838</v>
      </c>
      <c r="E425" s="39" t="str">
        <f>CONCATENATE(B425,C425,"_",D425)</f>
        <v>s30_grp_homemade</v>
      </c>
      <c r="F425" s="38" t="s">
        <v>2618</v>
      </c>
      <c r="G425" s="38" t="str">
        <f>CONCATENATE(UPPER(B425),UPPER(C425),": ",F425)</f>
        <v>S30: Thức ăn tự trộn</v>
      </c>
      <c r="H425" s="38"/>
      <c r="I425" s="38"/>
      <c r="J425" s="38"/>
      <c r="K425" s="38"/>
      <c r="L425" s="38"/>
      <c r="M425" s="38" t="str">
        <f>CONCATENATE("selected(${",E225,"},'homemade')")</f>
        <v>selected(${s25q158_feed_type},'homemade')</v>
      </c>
      <c r="N425" s="38"/>
      <c r="O425" s="38"/>
      <c r="P425" s="38"/>
      <c r="Q425" s="38"/>
      <c r="R425" s="38"/>
      <c r="S425" s="38"/>
    </row>
    <row r="426" spans="1:19" x14ac:dyDescent="0.2">
      <c r="A426" s="38" t="s">
        <v>88</v>
      </c>
      <c r="B426" s="38" t="s">
        <v>837</v>
      </c>
      <c r="C426" s="38" t="s">
        <v>839</v>
      </c>
      <c r="D426" s="38" t="s">
        <v>840</v>
      </c>
      <c r="E426" s="39" t="str">
        <f>CONCATENATE(B426,C426,"_",D426)</f>
        <v>s30q263_no_hm_made</v>
      </c>
      <c r="F426" s="38" t="str">
        <f>CONCATENATE("&lt;span style='color:blue;'&gt;Thức ăn tự trộn&lt;/span&gt;: Ông/bà sử dụng bao nhiêu bao thức ăn cho đàn gà này kể từ khi nuôi (tính theo bao nguyên) ở lứa gần đây nhất?")</f>
        <v>&lt;span style='color:blue;'&gt;Thức ăn tự trộn&lt;/span&gt;: Ông/bà sử dụng bao nhiêu bao thức ăn cho đàn gà này kể từ khi nuôi (tính theo bao nguyên) ở lứa gần đây nhất?</v>
      </c>
      <c r="G426" s="38" t="str">
        <f>CONCATENATE(UPPER(B426),UPPER(C426),": ",F426)</f>
        <v>S30Q263: &lt;span style='color:blue;'&gt;Thức ăn tự trộn&lt;/span&gt;: Ông/bà sử dụng bao nhiêu bao thức ăn cho đàn gà này kể từ khi nuôi (tính theo bao nguyên) ở lứa gần đây nhất?</v>
      </c>
      <c r="H426" s="38"/>
      <c r="I426" s="38" t="s">
        <v>106</v>
      </c>
      <c r="J426" s="38"/>
      <c r="K426" s="38" t="s">
        <v>40</v>
      </c>
      <c r="L426" s="38"/>
      <c r="M426" s="38"/>
      <c r="N426" s="38"/>
      <c r="O426" s="38"/>
      <c r="P426" s="38"/>
      <c r="Q426" s="38"/>
      <c r="R426" s="38"/>
      <c r="S426" s="38"/>
    </row>
    <row r="427" spans="1:19" x14ac:dyDescent="0.2">
      <c r="A427" s="38" t="s">
        <v>88</v>
      </c>
      <c r="B427" s="38" t="s">
        <v>837</v>
      </c>
      <c r="C427" s="40" t="s">
        <v>841</v>
      </c>
      <c r="D427" s="38" t="s">
        <v>842</v>
      </c>
      <c r="E427" s="39" t="str">
        <f>CONCATENATE(B427,C427,"_",D427)</f>
        <v>s30q264_hm_made_weight</v>
      </c>
      <c r="F427" s="38" t="str">
        <f>CONCATENATE("&lt;span style='color:blue;'&gt;Thức ăn tự trộn&lt;/span&gt;: Mỗi bao đó là bao nhiêu kilogram?")</f>
        <v>&lt;span style='color:blue;'&gt;Thức ăn tự trộn&lt;/span&gt;: Mỗi bao đó là bao nhiêu kilogram?</v>
      </c>
      <c r="G427" s="38" t="str">
        <f>CONCATENATE(UPPER(B427),UPPER(C427),": ",F427)</f>
        <v>S30Q264: &lt;span style='color:blue;'&gt;Thức ăn tự trộn&lt;/span&gt;: Mỗi bao đó là bao nhiêu kilogram?</v>
      </c>
      <c r="H427" s="38" t="s">
        <v>2769</v>
      </c>
      <c r="I427" s="38" t="s">
        <v>106</v>
      </c>
      <c r="J427" s="38"/>
      <c r="K427" s="38" t="s">
        <v>40</v>
      </c>
      <c r="L427" s="38"/>
      <c r="M427" s="38"/>
      <c r="N427" s="38"/>
      <c r="O427" s="38"/>
      <c r="P427" s="38"/>
      <c r="Q427" s="38"/>
      <c r="R427" s="38"/>
      <c r="S427" s="38"/>
    </row>
    <row r="428" spans="1:19" x14ac:dyDescent="0.2">
      <c r="A428" s="38" t="s">
        <v>88</v>
      </c>
      <c r="B428" s="38" t="s">
        <v>837</v>
      </c>
      <c r="C428" s="38" t="s">
        <v>843</v>
      </c>
      <c r="D428" s="38" t="s">
        <v>844</v>
      </c>
      <c r="E428" s="39" t="str">
        <f>CONCATENATE(B428,C428,"_",D428)</f>
        <v>s30q265_hm_made_cost</v>
      </c>
      <c r="F428" s="38" t="str">
        <f>CONCATENATE("&lt;span style='color:blue;'&gt;Thức ăn tự trộn&lt;/span&gt;: Tổng tiền cho số cám/thức ăn tự trộn đó ở lứa nuôi đó là bao nhiêu tiền?")</f>
        <v>&lt;span style='color:blue;'&gt;Thức ăn tự trộn&lt;/span&gt;: Tổng tiền cho số cám/thức ăn tự trộn đó ở lứa nuôi đó là bao nhiêu tiền?</v>
      </c>
      <c r="G428" s="38" t="str">
        <f>CONCATENATE(UPPER(B428),UPPER(C428),": ",F428)</f>
        <v>S30Q265: &lt;span style='color:blue;'&gt;Thức ăn tự trộn&lt;/span&gt;: Tổng tiền cho số cám/thức ăn tự trộn đó ở lứa nuôi đó là bao nhiêu tiền?</v>
      </c>
      <c r="H428" s="38"/>
      <c r="I428" s="38" t="s">
        <v>106</v>
      </c>
      <c r="J428" s="38"/>
      <c r="K428" s="38" t="s">
        <v>40</v>
      </c>
      <c r="L428" s="38"/>
      <c r="M428" s="38"/>
      <c r="N428" s="38"/>
      <c r="O428" s="38"/>
      <c r="P428" s="38"/>
      <c r="Q428" s="38"/>
      <c r="R428" s="38"/>
      <c r="S428" s="38"/>
    </row>
    <row r="429" spans="1:19" x14ac:dyDescent="0.2">
      <c r="A429" s="38" t="s">
        <v>616</v>
      </c>
      <c r="B429" s="38" t="s">
        <v>837</v>
      </c>
      <c r="C429" s="40" t="s">
        <v>845</v>
      </c>
      <c r="D429" s="38" t="s">
        <v>846</v>
      </c>
      <c r="E429" s="39" t="str">
        <f>CONCATENATE(B429,C429,"_",D429)</f>
        <v>s30q266_hm_made_addons</v>
      </c>
      <c r="F429" s="38" t="str">
        <f>CONCATENATE("&lt;span style='color:blue;'&gt;Thức ăn tự trộn&lt;/span&gt;: Ông/bà có trộn bổ sung thành phần nào khác vào thức ăn không?")</f>
        <v>&lt;span style='color:blue;'&gt;Thức ăn tự trộn&lt;/span&gt;: Ông/bà có trộn bổ sung thành phần nào khác vào thức ăn không?</v>
      </c>
      <c r="G429" s="38" t="str">
        <f>CONCATENATE(UPPER(B429),UPPER(C429),": ",F429)</f>
        <v>S30Q266: &lt;span style='color:blue;'&gt;Thức ăn tự trộn&lt;/span&gt;: Ông/bà có trộn bổ sung thành phần nào khác vào thức ăn không?</v>
      </c>
      <c r="H429" s="38"/>
      <c r="I429" s="38" t="s">
        <v>382</v>
      </c>
      <c r="J429" s="38" t="s">
        <v>383</v>
      </c>
      <c r="K429" s="38" t="s">
        <v>40</v>
      </c>
      <c r="L429" s="38"/>
      <c r="M429" s="38"/>
      <c r="N429" s="38"/>
      <c r="O429" s="38"/>
      <c r="P429" s="38"/>
      <c r="Q429" s="38"/>
      <c r="R429" s="38"/>
      <c r="S429" s="38"/>
    </row>
    <row r="430" spans="1:19" ht="12.75" thickBot="1" x14ac:dyDescent="0.25">
      <c r="A430" s="4" t="s">
        <v>74</v>
      </c>
      <c r="C430" s="4" t="s">
        <v>43</v>
      </c>
    </row>
    <row r="431" spans="1:19" x14ac:dyDescent="0.2">
      <c r="A431" s="67" t="s">
        <v>619</v>
      </c>
      <c r="B431" s="68" t="s">
        <v>837</v>
      </c>
      <c r="C431" s="68" t="s">
        <v>847</v>
      </c>
      <c r="D431" s="68" t="s">
        <v>750</v>
      </c>
      <c r="E431" s="69" t="str">
        <f t="shared" ref="E431:E437" si="49">CONCATENATE(B431,C431,"_",D431)</f>
        <v>s30q267_antibiotics</v>
      </c>
      <c r="F431" s="68" t="s">
        <v>623</v>
      </c>
      <c r="G431" s="68" t="str">
        <f>CONCATENATE(UPPER(B431),UPPER(C431),": ",F431)</f>
        <v>S30Q267: Ông/bà trộn loại kháng sinh gì?</v>
      </c>
      <c r="H431" s="68"/>
      <c r="I431" s="68"/>
      <c r="J431" s="68"/>
      <c r="K431" s="68" t="s">
        <v>40</v>
      </c>
      <c r="L431" s="68" t="s">
        <v>624</v>
      </c>
      <c r="M431" s="68" t="str">
        <f>CONCATENATE("selected(${",E429,"},'antibiotic')")</f>
        <v>selected(${s30q266_hm_made_addons},'antibiotic')</v>
      </c>
      <c r="N431" s="68"/>
      <c r="O431" s="68"/>
      <c r="P431" s="68"/>
      <c r="Q431" s="68"/>
      <c r="R431" s="68"/>
      <c r="S431" s="70"/>
    </row>
    <row r="432" spans="1:19" x14ac:dyDescent="0.2">
      <c r="A432" s="71" t="s">
        <v>123</v>
      </c>
      <c r="B432" s="72" t="s">
        <v>837</v>
      </c>
      <c r="C432" s="72" t="s">
        <v>43</v>
      </c>
      <c r="D432" s="72" t="s">
        <v>848</v>
      </c>
      <c r="E432" s="73" t="str">
        <f t="shared" si="49"/>
        <v>s30_rpt_hmmade_abs</v>
      </c>
      <c r="F432" s="72" t="s">
        <v>2619</v>
      </c>
      <c r="G432" s="72" t="str">
        <f>CONCATENATE(UPPER(B432),UPPER(C432),": ",F432)</f>
        <v>S30: Các loại thuốc kháng sinh</v>
      </c>
      <c r="H432" s="72"/>
      <c r="I432" s="72"/>
      <c r="J432" s="72"/>
      <c r="K432" s="72"/>
      <c r="L432" s="72"/>
      <c r="M432" s="72" t="str">
        <f>CONCATENATE("selected(${",E429,"},'antibiotic')")</f>
        <v>selected(${s30q266_hm_made_addons},'antibiotic')</v>
      </c>
      <c r="N432" s="72"/>
      <c r="O432" s="74" t="str">
        <f>CONCATENATE("count-selected(${",E431,"})")</f>
        <v>count-selected(${s30q267_antibiotics})</v>
      </c>
      <c r="P432" s="72"/>
      <c r="Q432" s="72"/>
      <c r="R432" s="72"/>
      <c r="S432" s="75"/>
    </row>
    <row r="433" spans="1:19" x14ac:dyDescent="0.2">
      <c r="A433" s="71" t="s">
        <v>127</v>
      </c>
      <c r="B433" s="72" t="s">
        <v>837</v>
      </c>
      <c r="C433" s="72" t="s">
        <v>128</v>
      </c>
      <c r="D433" s="72" t="s">
        <v>849</v>
      </c>
      <c r="E433" s="73" t="str">
        <f t="shared" si="49"/>
        <v>s30c1_cur_hmmade_ab</v>
      </c>
      <c r="F433" s="72"/>
      <c r="G433" s="72"/>
      <c r="H433" s="72"/>
      <c r="I433" s="72"/>
      <c r="J433" s="72"/>
      <c r="K433" s="72"/>
      <c r="L433" s="72"/>
      <c r="M433" s="72"/>
      <c r="N433" s="72"/>
      <c r="O433" s="72"/>
      <c r="P433" s="76" t="str">
        <f>CONCATENATE("selected-at(${",E431,"}, position(..)-1)")</f>
        <v>selected-at(${s30q267_antibiotics}, position(..)-1)</v>
      </c>
      <c r="Q433" s="72"/>
      <c r="R433" s="72"/>
      <c r="S433" s="75"/>
    </row>
    <row r="434" spans="1:19" x14ac:dyDescent="0.2">
      <c r="A434" s="71" t="s">
        <v>127</v>
      </c>
      <c r="B434" s="72" t="s">
        <v>837</v>
      </c>
      <c r="C434" s="72" t="s">
        <v>130</v>
      </c>
      <c r="D434" s="72" t="s">
        <v>850</v>
      </c>
      <c r="E434" s="73" t="str">
        <f t="shared" si="49"/>
        <v>s30c2_cur_hmmade_ab_name</v>
      </c>
      <c r="F434" s="72"/>
      <c r="G434" s="72"/>
      <c r="H434" s="72"/>
      <c r="I434" s="72"/>
      <c r="J434" s="72"/>
      <c r="K434" s="72"/>
      <c r="L434" s="72"/>
      <c r="M434" s="72"/>
      <c r="N434" s="72"/>
      <c r="O434" s="72"/>
      <c r="P434" s="76" t="str">
        <f>CONCATENATE("if(string-length(../",E433,") != 0,jr:choice-name(${",E433,"},'${",E431,"}'),'unknown')")</f>
        <v>if(string-length(../s30c1_cur_hmmade_ab) != 0,jr:choice-name(${s30c1_cur_hmmade_ab},'${s30q267_antibiotics}'),'unknown')</v>
      </c>
      <c r="Q434" s="72"/>
      <c r="R434" s="72"/>
      <c r="S434" s="75"/>
    </row>
    <row r="435" spans="1:19" x14ac:dyDescent="0.2">
      <c r="A435" s="71" t="s">
        <v>41</v>
      </c>
      <c r="B435" s="72" t="s">
        <v>837</v>
      </c>
      <c r="C435" s="72" t="s">
        <v>43</v>
      </c>
      <c r="D435" s="72" t="s">
        <v>851</v>
      </c>
      <c r="E435" s="73" t="str">
        <f t="shared" si="49"/>
        <v>s30_grp_hmmade_abs</v>
      </c>
      <c r="F435" s="72" t="s">
        <v>2413</v>
      </c>
      <c r="G435" s="72" t="str">
        <f>CONCATENATE(UPPER(B435),UPPER(C435),": ",F435)</f>
        <v>S30: Thông tin chi tiết về thuốc kháng sinh</v>
      </c>
      <c r="H435" s="72"/>
      <c r="I435" s="72"/>
      <c r="J435" s="72"/>
      <c r="K435" s="72"/>
      <c r="L435" s="72"/>
      <c r="M435" s="72"/>
      <c r="N435" s="72"/>
      <c r="O435" s="74"/>
      <c r="P435" s="72"/>
      <c r="Q435" s="72"/>
      <c r="R435" s="72"/>
      <c r="S435" s="75"/>
    </row>
    <row r="436" spans="1:19" x14ac:dyDescent="0.2">
      <c r="A436" s="72" t="s">
        <v>628</v>
      </c>
      <c r="B436" s="72" t="s">
        <v>837</v>
      </c>
      <c r="C436" s="72" t="s">
        <v>852</v>
      </c>
      <c r="D436" s="72" t="s">
        <v>630</v>
      </c>
      <c r="E436" s="73" t="str">
        <f t="shared" si="49"/>
        <v>s30q268_how_ab_combined</v>
      </c>
      <c r="F436" s="72" t="str">
        <f>CONCATENATE("Loại &lt;span style='color:blue;'&gt;${",E434,"}&lt;/span&gt; là ở dạng đơn hay ở dạng hỗn hợp với các loại kháng sinh khác?")</f>
        <v>Loại &lt;span style='color:blue;'&gt;${s30c2_cur_hmmade_ab_name}&lt;/span&gt; là ở dạng đơn hay ở dạng hỗn hợp với các loại kháng sinh khác?</v>
      </c>
      <c r="G436" s="72" t="str">
        <f>CONCATENATE(UPPER(B436),UPPER(C436),": ",F436)</f>
        <v>S30Q268: Loại &lt;span style='color:blue;'&gt;${s30c2_cur_hmmade_ab_name}&lt;/span&gt; là ở dạng đơn hay ở dạng hỗn hợp với các loại kháng sinh khác?</v>
      </c>
      <c r="H436" s="72"/>
      <c r="I436" s="72"/>
      <c r="J436" s="72"/>
      <c r="K436" s="72" t="s">
        <v>40</v>
      </c>
      <c r="L436" s="72" t="s">
        <v>50</v>
      </c>
      <c r="M436" s="72"/>
      <c r="N436" s="72"/>
      <c r="O436" s="72"/>
      <c r="P436" s="72"/>
      <c r="Q436" s="72"/>
      <c r="R436" s="72"/>
      <c r="S436" s="72"/>
    </row>
    <row r="437" spans="1:19" x14ac:dyDescent="0.2">
      <c r="A437" s="72" t="s">
        <v>619</v>
      </c>
      <c r="B437" s="72" t="s">
        <v>837</v>
      </c>
      <c r="C437" s="72" t="s">
        <v>853</v>
      </c>
      <c r="D437" s="72" t="s">
        <v>632</v>
      </c>
      <c r="E437" s="73" t="str">
        <f t="shared" si="49"/>
        <v>s30q269_ab_combined</v>
      </c>
      <c r="F437" s="72" t="str">
        <f>CONCATENATE("Chọn loại kháng sinh phối/hỗn hợp cùng với &lt;span style='color:blue;'&gt;${",E434,"}&lt;/span&gt; đó")</f>
        <v>Chọn loại kháng sinh phối/hỗn hợp cùng với &lt;span style='color:blue;'&gt;${s30c2_cur_hmmade_ab_name}&lt;/span&gt; đó</v>
      </c>
      <c r="G437" s="72" t="str">
        <f>CONCATENATE(UPPER(B437),UPPER(C437),": ",F437)</f>
        <v>S30Q269: Chọn loại kháng sinh phối/hỗn hợp cùng với &lt;span style='color:blue;'&gt;${s30c2_cur_hmmade_ab_name}&lt;/span&gt; đó</v>
      </c>
      <c r="H437" s="72"/>
      <c r="I437" s="72"/>
      <c r="J437" s="72"/>
      <c r="K437" s="72" t="s">
        <v>40</v>
      </c>
      <c r="L437" s="72"/>
      <c r="M437" s="72" t="str">
        <f>CONCATENATE("selected(${",E436,"},'combined')")</f>
        <v>selected(${s30q268_how_ab_combined},'combined')</v>
      </c>
      <c r="N437" s="72"/>
      <c r="O437" s="72"/>
      <c r="P437" s="72"/>
      <c r="Q437" s="72"/>
      <c r="R437" s="72"/>
      <c r="S437" s="72"/>
    </row>
    <row r="438" spans="1:19" x14ac:dyDescent="0.2">
      <c r="A438" s="71" t="s">
        <v>633</v>
      </c>
      <c r="B438" s="72" t="s">
        <v>837</v>
      </c>
      <c r="C438" s="72" t="s">
        <v>854</v>
      </c>
      <c r="D438" s="72" t="s">
        <v>635</v>
      </c>
      <c r="E438" s="73" t="str">
        <f t="shared" ref="E438:E443" si="50">CONCATENATE(B438,C438,"_",D438)</f>
        <v>s30q270_purpose</v>
      </c>
      <c r="F438" s="72" t="str">
        <f>CONCATENATE("&lt;span style='color:blue;'&gt;Thức ăn tự trộn&lt;/span&gt;: Ông/bà dùng &lt;span style='color:blue;'&gt;${",E434,"}&lt;/span&gt; cho mục đích gì?")</f>
        <v>&lt;span style='color:blue;'&gt;Thức ăn tự trộn&lt;/span&gt;: Ông/bà dùng &lt;span style='color:blue;'&gt;${s30c2_cur_hmmade_ab_name}&lt;/span&gt; cho mục đích gì?</v>
      </c>
      <c r="G438" s="72" t="str">
        <f t="shared" ref="G438:G443" si="51">CONCATENATE(UPPER(B438),UPPER(C438),": ",F438)</f>
        <v>S30Q270: &lt;span style='color:blue;'&gt;Thức ăn tự trộn&lt;/span&gt;: Ông/bà dùng &lt;span style='color:blue;'&gt;${s30c2_cur_hmmade_ab_name}&lt;/span&gt; cho mục đích gì?</v>
      </c>
      <c r="H438" s="72"/>
      <c r="I438" s="72"/>
      <c r="J438" s="72"/>
      <c r="K438" s="72" t="s">
        <v>40</v>
      </c>
      <c r="L438" s="72"/>
      <c r="M438" s="72"/>
      <c r="N438" s="72"/>
      <c r="O438" s="72"/>
      <c r="P438" s="72"/>
      <c r="Q438" s="72"/>
      <c r="R438" s="72"/>
      <c r="S438" s="75"/>
    </row>
    <row r="439" spans="1:19" x14ac:dyDescent="0.2">
      <c r="A439" s="71" t="s">
        <v>636</v>
      </c>
      <c r="B439" s="72" t="s">
        <v>837</v>
      </c>
      <c r="C439" s="72" t="s">
        <v>855</v>
      </c>
      <c r="D439" s="72" t="s">
        <v>638</v>
      </c>
      <c r="E439" s="73" t="str">
        <f t="shared" si="50"/>
        <v>s30q271_use_reason</v>
      </c>
      <c r="F439" s="72" t="str">
        <f>CONCATENATE("&lt;span style='color:blue;'&gt;Thức ăn tự trộn&lt;/span&gt;: Vì sao ông/bà quyết định sử dụng loại &lt;span style='color:blue;'&gt;${",E434,"}&lt;/span&gt; này?")</f>
        <v>&lt;span style='color:blue;'&gt;Thức ăn tự trộn&lt;/span&gt;: Vì sao ông/bà quyết định sử dụng loại &lt;span style='color:blue;'&gt;${s30c2_cur_hmmade_ab_name}&lt;/span&gt; này?</v>
      </c>
      <c r="G439" s="72" t="str">
        <f t="shared" si="51"/>
        <v>S30Q271: &lt;span style='color:blue;'&gt;Thức ăn tự trộn&lt;/span&gt;: Vì sao ông/bà quyết định sử dụng loại &lt;span style='color:blue;'&gt;${s30c2_cur_hmmade_ab_name}&lt;/span&gt; này?</v>
      </c>
      <c r="H439" s="72"/>
      <c r="I439" s="72"/>
      <c r="J439" s="72"/>
      <c r="K439" s="72" t="s">
        <v>40</v>
      </c>
      <c r="L439" s="72"/>
      <c r="M439" s="72"/>
      <c r="N439" s="72"/>
      <c r="O439" s="72"/>
      <c r="P439" s="72"/>
      <c r="Q439" s="72"/>
      <c r="R439" s="72"/>
      <c r="S439" s="75"/>
    </row>
    <row r="440" spans="1:19" x14ac:dyDescent="0.2">
      <c r="A440" s="71" t="s">
        <v>639</v>
      </c>
      <c r="B440" s="72" t="s">
        <v>837</v>
      </c>
      <c r="C440" s="72" t="s">
        <v>856</v>
      </c>
      <c r="D440" s="72" t="s">
        <v>641</v>
      </c>
      <c r="E440" s="73" t="str">
        <f t="shared" si="50"/>
        <v>s30q272_source</v>
      </c>
      <c r="F440" s="72" t="str">
        <f>CONCATENATE("&lt;span style='color:blue;'&gt;Thức ăn tự trộn&lt;/span&gt;: Ông/bà mua &lt;span style='color:blue;'&gt;${",E434,"}&lt;/span&gt; ở đâu?")</f>
        <v>&lt;span style='color:blue;'&gt;Thức ăn tự trộn&lt;/span&gt;: Ông/bà mua &lt;span style='color:blue;'&gt;${s30c2_cur_hmmade_ab_name}&lt;/span&gt; ở đâu?</v>
      </c>
      <c r="G440" s="72" t="str">
        <f t="shared" si="51"/>
        <v>S30Q272: &lt;span style='color:blue;'&gt;Thức ăn tự trộn&lt;/span&gt;: Ông/bà mua &lt;span style='color:blue;'&gt;${s30c2_cur_hmmade_ab_name}&lt;/span&gt; ở đâu?</v>
      </c>
      <c r="H440" s="72"/>
      <c r="I440" s="72"/>
      <c r="J440" s="72"/>
      <c r="K440" s="72" t="s">
        <v>40</v>
      </c>
      <c r="L440" s="72"/>
      <c r="M440" s="72"/>
      <c r="N440" s="72"/>
      <c r="O440" s="72"/>
      <c r="P440" s="72"/>
      <c r="Q440" s="72"/>
      <c r="R440" s="72"/>
      <c r="S440" s="75"/>
    </row>
    <row r="441" spans="1:19" x14ac:dyDescent="0.2">
      <c r="A441" s="71" t="s">
        <v>645</v>
      </c>
      <c r="B441" s="72" t="s">
        <v>837</v>
      </c>
      <c r="C441" s="72" t="s">
        <v>857</v>
      </c>
      <c r="D441" s="72" t="s">
        <v>647</v>
      </c>
      <c r="E441" s="73" t="str">
        <f t="shared" si="50"/>
        <v>s30q273_who_admin</v>
      </c>
      <c r="F441" s="72" t="str">
        <f>CONCATENATE("&lt;span style='color:blue;'&gt;Thức ăn tự trộn&lt;/span&gt;: Ai là người dùng/trộn/tiêm &lt;span style='color:blue;'&gt;${",E434,"}&lt;/span&gt; đó cho đàn gà?")</f>
        <v>&lt;span style='color:blue;'&gt;Thức ăn tự trộn&lt;/span&gt;: Ai là người dùng/trộn/tiêm &lt;span style='color:blue;'&gt;${s30c2_cur_hmmade_ab_name}&lt;/span&gt; đó cho đàn gà?</v>
      </c>
      <c r="G441" s="72" t="str">
        <f t="shared" si="51"/>
        <v>S30Q273: &lt;span style='color:blue;'&gt;Thức ăn tự trộn&lt;/span&gt;: Ai là người dùng/trộn/tiêm &lt;span style='color:blue;'&gt;${s30c2_cur_hmmade_ab_name}&lt;/span&gt; đó cho đàn gà?</v>
      </c>
      <c r="H441" s="72"/>
      <c r="I441" s="72"/>
      <c r="J441" s="72"/>
      <c r="K441" s="72" t="s">
        <v>40</v>
      </c>
      <c r="L441" s="72"/>
      <c r="M441" s="72"/>
      <c r="N441" s="72"/>
      <c r="O441" s="72"/>
      <c r="P441" s="72"/>
      <c r="Q441" s="72"/>
      <c r="R441" s="72"/>
      <c r="S441" s="75"/>
    </row>
    <row r="442" spans="1:19" x14ac:dyDescent="0.2">
      <c r="A442" s="71" t="s">
        <v>648</v>
      </c>
      <c r="B442" s="72" t="s">
        <v>837</v>
      </c>
      <c r="C442" s="72" t="s">
        <v>858</v>
      </c>
      <c r="D442" s="72" t="s">
        <v>650</v>
      </c>
      <c r="E442" s="73" t="str">
        <f t="shared" si="50"/>
        <v>s30q274_how_knowhow</v>
      </c>
      <c r="F442" s="72" t="str">
        <f>CONCATENATE("&lt;span style='color:blue;'&gt;Thức ăn tự trộn&lt;/span&gt;: Làm thế nào ông/bà hay họ biết cách sử dụng loại &lt;span style='color:blue;'&gt;${",E434,"}&lt;/span&gt; đó?")</f>
        <v>&lt;span style='color:blue;'&gt;Thức ăn tự trộn&lt;/span&gt;: Làm thế nào ông/bà hay họ biết cách sử dụng loại &lt;span style='color:blue;'&gt;${s30c2_cur_hmmade_ab_name}&lt;/span&gt; đó?</v>
      </c>
      <c r="G442" s="72" t="str">
        <f t="shared" si="51"/>
        <v>S30Q274: &lt;span style='color:blue;'&gt;Thức ăn tự trộn&lt;/span&gt;: Làm thế nào ông/bà hay họ biết cách sử dụng loại &lt;span style='color:blue;'&gt;${s30c2_cur_hmmade_ab_name}&lt;/span&gt; đó?</v>
      </c>
      <c r="H442" s="72"/>
      <c r="I442" s="72"/>
      <c r="J442" s="72"/>
      <c r="K442" s="72" t="s">
        <v>40</v>
      </c>
      <c r="L442" s="72"/>
      <c r="M442" s="72" t="str">
        <f>CONCATENATE("selected(${",E441,"},'myself') or selected(${",E441,"},'farm_worker') or selected(${",E441,"},'friends')")</f>
        <v>selected(${s30q273_who_admin},'myself') or selected(${s30q273_who_admin},'farm_worker') or selected(${s30q273_who_admin},'friends')</v>
      </c>
      <c r="N442" s="72"/>
      <c r="O442" s="72"/>
      <c r="P442" s="72"/>
      <c r="Q442" s="72"/>
      <c r="R442" s="72"/>
      <c r="S442" s="75"/>
    </row>
    <row r="443" spans="1:19" x14ac:dyDescent="0.2">
      <c r="A443" s="71" t="s">
        <v>88</v>
      </c>
      <c r="B443" s="72" t="s">
        <v>837</v>
      </c>
      <c r="C443" s="72" t="s">
        <v>859</v>
      </c>
      <c r="D443" s="72" t="s">
        <v>652</v>
      </c>
      <c r="E443" s="73" t="str">
        <f t="shared" si="50"/>
        <v>s30q275_no_occassions</v>
      </c>
      <c r="F443" s="72" t="str">
        <f>CONCATENATE("&lt;span style='color:blue;'&gt;Thức ăn tự trộn&lt;/span&gt;: Ông/bà dùng &lt;span style='color:blue;'&gt;${",E434,"}&lt;/span&gt; cho lứa gà gần đây nhất của mình bao nhiêu lần?")</f>
        <v>&lt;span style='color:blue;'&gt;Thức ăn tự trộn&lt;/span&gt;: Ông/bà dùng &lt;span style='color:blue;'&gt;${s30c2_cur_hmmade_ab_name}&lt;/span&gt; cho lứa gà gần đây nhất của mình bao nhiêu lần?</v>
      </c>
      <c r="G443" s="72" t="str">
        <f t="shared" si="51"/>
        <v>S30Q275: &lt;span style='color:blue;'&gt;Thức ăn tự trộn&lt;/span&gt;: Ông/bà dùng &lt;span style='color:blue;'&gt;${s30c2_cur_hmmade_ab_name}&lt;/span&gt; cho lứa gà gần đây nhất của mình bao nhiêu lần?</v>
      </c>
      <c r="H443" s="72"/>
      <c r="I443" s="72" t="s">
        <v>184</v>
      </c>
      <c r="J443" s="72"/>
      <c r="K443" s="72" t="s">
        <v>40</v>
      </c>
      <c r="L443" s="72"/>
      <c r="M443" s="72"/>
      <c r="N443" s="72"/>
      <c r="O443" s="72"/>
      <c r="P443" s="72"/>
      <c r="Q443" s="72"/>
      <c r="R443" s="72"/>
      <c r="S443" s="75"/>
    </row>
    <row r="444" spans="1:19" x14ac:dyDescent="0.2">
      <c r="A444" s="62" t="s">
        <v>74</v>
      </c>
      <c r="C444" s="4" t="s">
        <v>43</v>
      </c>
      <c r="S444" s="63"/>
    </row>
    <row r="445" spans="1:19" x14ac:dyDescent="0.2">
      <c r="A445" s="71" t="s">
        <v>123</v>
      </c>
      <c r="B445" s="72" t="s">
        <v>837</v>
      </c>
      <c r="C445" s="72" t="s">
        <v>43</v>
      </c>
      <c r="D445" s="72" t="s">
        <v>860</v>
      </c>
      <c r="E445" s="73" t="str">
        <f>CONCATENATE(B445,C445,"_",D445)</f>
        <v>s30_rpt_hmmade_ab_occ</v>
      </c>
      <c r="F445" s="72" t="s">
        <v>654</v>
      </c>
      <c r="G445" s="72" t="str">
        <f>CONCATENATE(UPPER(B445),UPPER(C445),": ",F445)</f>
        <v>S30: Chi tiết các lần dùng</v>
      </c>
      <c r="H445" s="72"/>
      <c r="I445" s="72"/>
      <c r="J445" s="72"/>
      <c r="K445" s="72"/>
      <c r="L445" s="72"/>
      <c r="M445" s="72"/>
      <c r="N445" s="72"/>
      <c r="O445" s="72" t="str">
        <f>CONCATENATE("${",E443,"}")</f>
        <v>${s30q275_no_occassions}</v>
      </c>
      <c r="P445" s="72"/>
      <c r="Q445" s="72"/>
      <c r="R445" s="72"/>
      <c r="S445" s="75"/>
    </row>
    <row r="446" spans="1:19" x14ac:dyDescent="0.2">
      <c r="A446" s="71" t="s">
        <v>127</v>
      </c>
      <c r="B446" s="72" t="s">
        <v>655</v>
      </c>
      <c r="C446" s="72" t="s">
        <v>128</v>
      </c>
      <c r="D446" s="72" t="s">
        <v>861</v>
      </c>
      <c r="E446" s="73" t="str">
        <f>CONCATENATE(B446,C446,"_",D446)</f>
        <v>s36c1_cur_rpt_hmmade_ab_name</v>
      </c>
      <c r="F446" s="72"/>
      <c r="G446" s="72"/>
      <c r="H446" s="72"/>
      <c r="I446" s="72"/>
      <c r="J446" s="72"/>
      <c r="K446" s="72"/>
      <c r="L446" s="72"/>
      <c r="M446" s="72"/>
      <c r="N446" s="72"/>
      <c r="O446" s="72"/>
      <c r="P446" s="72" t="str">
        <f>CONCATENATE("${",E434,"}")</f>
        <v>${s30c2_cur_hmmade_ab_name}</v>
      </c>
      <c r="Q446" s="72"/>
      <c r="R446" s="72"/>
      <c r="S446" s="75"/>
    </row>
    <row r="447" spans="1:19" x14ac:dyDescent="0.2">
      <c r="A447" s="71" t="s">
        <v>127</v>
      </c>
      <c r="B447" s="72" t="s">
        <v>837</v>
      </c>
      <c r="C447" s="72" t="s">
        <v>128</v>
      </c>
      <c r="D447" s="72" t="s">
        <v>862</v>
      </c>
      <c r="E447" s="73" t="str">
        <f>CONCATENATE(B447,C447,"_",D447)</f>
        <v>s30c1_cur_hmmade_ab_occassion</v>
      </c>
      <c r="F447" s="72"/>
      <c r="G447" s="72"/>
      <c r="H447" s="72"/>
      <c r="I447" s="72"/>
      <c r="J447" s="72"/>
      <c r="K447" s="72"/>
      <c r="L447" s="72"/>
      <c r="M447" s="72"/>
      <c r="N447" s="72"/>
      <c r="O447" s="72"/>
      <c r="P447" s="72" t="s">
        <v>658</v>
      </c>
      <c r="Q447" s="72"/>
      <c r="R447" s="72"/>
      <c r="S447" s="75"/>
    </row>
    <row r="448" spans="1:19" x14ac:dyDescent="0.2">
      <c r="A448" s="71" t="s">
        <v>88</v>
      </c>
      <c r="B448" s="72" t="s">
        <v>837</v>
      </c>
      <c r="C448" s="72" t="s">
        <v>863</v>
      </c>
      <c r="D448" s="72" t="s">
        <v>660</v>
      </c>
      <c r="E448" s="73" t="str">
        <f>CONCATENATE(B448,C448,"_",D448)</f>
        <v>s30q276_birds_age</v>
      </c>
      <c r="F448" s="72" t="str">
        <f>CONCATENATE("Ông/bà dùng &lt;span style='color:blue;'&gt;${",E446,"}&lt;/span&gt; the &lt;span style='color:blue;'&gt;${",E447,"}&lt;/span&gt; cho đàn gà của mình vào giai đoạn tuổi nào?")</f>
        <v>Ông/bà dùng &lt;span style='color:blue;'&gt;${s36c1_cur_rpt_hmmade_ab_name}&lt;/span&gt; the &lt;span style='color:blue;'&gt;${s30c1_cur_hmmade_ab_occassion}&lt;/span&gt; cho đàn gà của mình vào giai đoạn tuổi nào?</v>
      </c>
      <c r="G448" s="72" t="str">
        <f>CONCATENATE(UPPER(B448),UPPER(C448),": ",F448)</f>
        <v>S30Q276: Ông/bà dùng &lt;span style='color:blue;'&gt;${s36c1_cur_rpt_hmmade_ab_name}&lt;/span&gt; the &lt;span style='color:blue;'&gt;${s30c1_cur_hmmade_ab_occassion}&lt;/span&gt; cho đàn gà của mình vào giai đoạn tuổi nào?</v>
      </c>
      <c r="H448" s="72" t="s">
        <v>2621</v>
      </c>
      <c r="I448" s="72" t="s">
        <v>106</v>
      </c>
      <c r="J448" s="72"/>
      <c r="K448" s="72" t="s">
        <v>40</v>
      </c>
      <c r="L448" s="72"/>
      <c r="M448" s="72"/>
      <c r="N448" s="72"/>
      <c r="O448" s="72"/>
      <c r="P448" s="72"/>
      <c r="Q448" s="72"/>
      <c r="R448" s="72"/>
      <c r="S448" s="75"/>
    </row>
    <row r="449" spans="1:19" x14ac:dyDescent="0.2">
      <c r="A449" s="71" t="s">
        <v>88</v>
      </c>
      <c r="B449" s="72" t="s">
        <v>837</v>
      </c>
      <c r="C449" s="72" t="s">
        <v>864</v>
      </c>
      <c r="D449" s="72" t="s">
        <v>598</v>
      </c>
      <c r="E449" s="73" t="str">
        <f>CONCATENATE(B449,C449,"_",D449)</f>
        <v>s30q277_cost</v>
      </c>
      <c r="F449" s="72" t="str">
        <f>CONCATENATE("Chi phí cho &lt;span style='color:blue;'&gt;${",E446,"}&lt;/span&gt; lần dùng đó &lt;span style='color:blue;'&gt;${",E447,"}&lt;/span&gt; là khoảng bao nhiêu?")</f>
        <v>Chi phí cho &lt;span style='color:blue;'&gt;${s36c1_cur_rpt_hmmade_ab_name}&lt;/span&gt; lần dùng đó &lt;span style='color:blue;'&gt;${s30c1_cur_hmmade_ab_occassion}&lt;/span&gt; là khoảng bao nhiêu?</v>
      </c>
      <c r="G449" s="72" t="str">
        <f>CONCATENATE(UPPER(B449),UPPER(C449),": ",F449)</f>
        <v>S30Q277: Chi phí cho &lt;span style='color:blue;'&gt;${s36c1_cur_rpt_hmmade_ab_name}&lt;/span&gt; lần dùng đó &lt;span style='color:blue;'&gt;${s30c1_cur_hmmade_ab_occassion}&lt;/span&gt; là khoảng bao nhiêu?</v>
      </c>
      <c r="H449" s="72" t="s">
        <v>2617</v>
      </c>
      <c r="I449" s="72" t="s">
        <v>106</v>
      </c>
      <c r="J449" s="72"/>
      <c r="K449" s="72" t="s">
        <v>40</v>
      </c>
      <c r="L449" s="72"/>
      <c r="M449" s="72"/>
      <c r="N449" s="72"/>
      <c r="O449" s="72"/>
      <c r="P449" s="72"/>
      <c r="Q449" s="72"/>
      <c r="R449" s="72"/>
      <c r="S449" s="75"/>
    </row>
    <row r="450" spans="1:19" x14ac:dyDescent="0.2">
      <c r="A450" s="62" t="s">
        <v>147</v>
      </c>
      <c r="C450" s="4" t="s">
        <v>43</v>
      </c>
      <c r="S450" s="63"/>
    </row>
    <row r="451" spans="1:19" ht="12.75" thickBot="1" x14ac:dyDescent="0.25">
      <c r="A451" s="64" t="s">
        <v>147</v>
      </c>
      <c r="B451" s="65"/>
      <c r="C451" s="65" t="s">
        <v>43</v>
      </c>
      <c r="D451" s="65"/>
      <c r="E451" s="65"/>
      <c r="F451" s="65"/>
      <c r="G451" s="65"/>
      <c r="H451" s="65"/>
      <c r="I451" s="65"/>
      <c r="J451" s="65"/>
      <c r="K451" s="65"/>
      <c r="L451" s="65"/>
      <c r="M451" s="65"/>
      <c r="N451" s="65"/>
      <c r="O451" s="65"/>
      <c r="P451" s="65"/>
      <c r="Q451" s="65"/>
      <c r="R451" s="65"/>
      <c r="S451" s="66"/>
    </row>
    <row r="452" spans="1:19" x14ac:dyDescent="0.2">
      <c r="A452" s="52" t="s">
        <v>662</v>
      </c>
      <c r="B452" s="53" t="s">
        <v>837</v>
      </c>
      <c r="C452" s="53" t="s">
        <v>865</v>
      </c>
      <c r="D452" s="53" t="s">
        <v>664</v>
      </c>
      <c r="E452" s="54" t="str">
        <f>CONCATENATE(B452,C452,"_",D452)</f>
        <v>s30q278_vitamins</v>
      </c>
      <c r="F452" s="53" t="s">
        <v>2418</v>
      </c>
      <c r="G452" s="53" t="str">
        <f>CONCATENATE(UPPER(B452),UPPER(C452),": ",F452)</f>
        <v xml:space="preserve">S30Q278: Ông/bà có bổ sung loại vitamin nào không? </v>
      </c>
      <c r="H452" s="53"/>
      <c r="I452" s="53"/>
      <c r="J452" s="53"/>
      <c r="K452" s="53" t="s">
        <v>40</v>
      </c>
      <c r="L452" s="53" t="s">
        <v>624</v>
      </c>
      <c r="M452" s="53" t="str">
        <f>CONCATENATE("selected(${",E429,"},'vitamins')")</f>
        <v>selected(${s30q266_hm_made_addons},'vitamins')</v>
      </c>
      <c r="N452" s="53"/>
      <c r="O452" s="53"/>
      <c r="P452" s="53"/>
      <c r="Q452" s="53"/>
      <c r="R452" s="53"/>
      <c r="S452" s="55"/>
    </row>
    <row r="453" spans="1:19" x14ac:dyDescent="0.2">
      <c r="A453" s="56" t="s">
        <v>123</v>
      </c>
      <c r="B453" s="57" t="s">
        <v>837</v>
      </c>
      <c r="C453" s="57" t="s">
        <v>43</v>
      </c>
      <c r="D453" s="57" t="s">
        <v>866</v>
      </c>
      <c r="E453" s="58" t="str">
        <f>CONCATENATE(B453,C453,"_",D453)</f>
        <v>s30_rpt_hmmade_vitamins</v>
      </c>
      <c r="F453" s="57" t="s">
        <v>716</v>
      </c>
      <c r="G453" s="57" t="str">
        <f>CONCATENATE(UPPER(B453),UPPER(C453),": ",F453)</f>
        <v>S30: Vitamins</v>
      </c>
      <c r="H453" s="57"/>
      <c r="I453" s="57"/>
      <c r="J453" s="57"/>
      <c r="K453" s="57"/>
      <c r="L453" s="57"/>
      <c r="M453" s="57" t="str">
        <f>CONCATENATE("selected(${",E429,"},'vitamins')")</f>
        <v>selected(${s30q266_hm_made_addons},'vitamins')</v>
      </c>
      <c r="N453" s="57"/>
      <c r="O453" s="59" t="str">
        <f>CONCATENATE("count-selected(${",E452,"})")</f>
        <v>count-selected(${s30q278_vitamins})</v>
      </c>
      <c r="P453" s="57"/>
      <c r="Q453" s="57"/>
      <c r="R453" s="57"/>
      <c r="S453" s="60"/>
    </row>
    <row r="454" spans="1:19" x14ac:dyDescent="0.2">
      <c r="A454" s="56" t="s">
        <v>127</v>
      </c>
      <c r="B454" s="57" t="s">
        <v>837</v>
      </c>
      <c r="C454" s="57" t="s">
        <v>128</v>
      </c>
      <c r="D454" s="57" t="s">
        <v>867</v>
      </c>
      <c r="E454" s="58" t="str">
        <f>CONCATENATE(B454,C454,"_",D454)</f>
        <v>s30c1_cur_hmmade_vitamin</v>
      </c>
      <c r="F454" s="57"/>
      <c r="G454" s="57"/>
      <c r="H454" s="57"/>
      <c r="I454" s="57"/>
      <c r="J454" s="57"/>
      <c r="K454" s="57"/>
      <c r="L454" s="57"/>
      <c r="M454" s="57"/>
      <c r="N454" s="57"/>
      <c r="O454" s="57"/>
      <c r="P454" s="61" t="str">
        <f>CONCATENATE("selected-at(${",E452,"}, position(..)-1)")</f>
        <v>selected-at(${s30q278_vitamins}, position(..)-1)</v>
      </c>
      <c r="Q454" s="57"/>
      <c r="R454" s="57"/>
      <c r="S454" s="60"/>
    </row>
    <row r="455" spans="1:19" x14ac:dyDescent="0.2">
      <c r="A455" s="56" t="s">
        <v>127</v>
      </c>
      <c r="B455" s="57" t="s">
        <v>837</v>
      </c>
      <c r="C455" s="57" t="s">
        <v>130</v>
      </c>
      <c r="D455" s="57" t="s">
        <v>868</v>
      </c>
      <c r="E455" s="58" t="str">
        <f>CONCATENATE(B455,C455,"_",D455)</f>
        <v>s30c2_cur_hmmade_vitamin_name</v>
      </c>
      <c r="F455" s="57"/>
      <c r="G455" s="57"/>
      <c r="H455" s="57"/>
      <c r="I455" s="57"/>
      <c r="J455" s="57"/>
      <c r="K455" s="57"/>
      <c r="L455" s="57"/>
      <c r="M455" s="57"/>
      <c r="N455" s="57"/>
      <c r="O455" s="57"/>
      <c r="P455" s="61" t="str">
        <f>CONCATENATE("if(string-length(../",E454,") != 0,jr:choice-name(${",E454,"},'${",E452,"}'),'unknown')")</f>
        <v>if(string-length(../s30c1_cur_hmmade_vitamin) != 0,jr:choice-name(${s30c1_cur_hmmade_vitamin},'${s30q278_vitamins}'),'unknown')</v>
      </c>
      <c r="Q455" s="57"/>
      <c r="R455" s="57"/>
      <c r="S455" s="60"/>
    </row>
    <row r="456" spans="1:19" x14ac:dyDescent="0.2">
      <c r="A456" s="56" t="s">
        <v>41</v>
      </c>
      <c r="B456" s="57" t="s">
        <v>837</v>
      </c>
      <c r="C456" s="57" t="s">
        <v>43</v>
      </c>
      <c r="D456" s="57" t="s">
        <v>869</v>
      </c>
      <c r="E456" s="58" t="str">
        <f>CONCATENATE(B456,C456,"_",D456)</f>
        <v>s30_grp_hmmade_vitamin</v>
      </c>
      <c r="F456" s="57" t="s">
        <v>667</v>
      </c>
      <c r="G456" s="57" t="str">
        <f>CONCATENATE(UPPER(B456),UPPER(C456),": ",F456)</f>
        <v>S30: Thông tin chi tiết về Vitamin</v>
      </c>
      <c r="H456" s="57"/>
      <c r="I456" s="57"/>
      <c r="J456" s="57"/>
      <c r="K456" s="57"/>
      <c r="L456" s="57"/>
      <c r="M456" s="57"/>
      <c r="N456" s="57"/>
      <c r="O456" s="59"/>
      <c r="P456" s="57"/>
      <c r="Q456" s="57"/>
      <c r="R456" s="57"/>
      <c r="S456" s="60"/>
    </row>
    <row r="457" spans="1:19" x14ac:dyDescent="0.2">
      <c r="A457" s="56" t="s">
        <v>633</v>
      </c>
      <c r="B457" s="57" t="s">
        <v>837</v>
      </c>
      <c r="C457" s="57" t="s">
        <v>870</v>
      </c>
      <c r="D457" s="57" t="s">
        <v>635</v>
      </c>
      <c r="E457" s="58" t="str">
        <f t="shared" ref="E457:E462" si="52">CONCATENATE(B457,C457,"_",D457)</f>
        <v>s30q279_purpose</v>
      </c>
      <c r="F457" s="57" t="str">
        <f>CONCATENATE("&lt;span style='color:blue;'&gt;Thức ăn tự trộn&lt;/span&gt;: Ông/bà dùng &lt;span style='color:blue;'&gt;${",E455,"}&lt;/span&gt; cho mục đích gì?")</f>
        <v>&lt;span style='color:blue;'&gt;Thức ăn tự trộn&lt;/span&gt;: Ông/bà dùng &lt;span style='color:blue;'&gt;${s30c2_cur_hmmade_vitamin_name}&lt;/span&gt; cho mục đích gì?</v>
      </c>
      <c r="G457" s="57" t="str">
        <f t="shared" ref="G457:G462" si="53">CONCATENATE(UPPER(B457),UPPER(C457),": ",F457)</f>
        <v>S30Q279: &lt;span style='color:blue;'&gt;Thức ăn tự trộn&lt;/span&gt;: Ông/bà dùng &lt;span style='color:blue;'&gt;${s30c2_cur_hmmade_vitamin_name}&lt;/span&gt; cho mục đích gì?</v>
      </c>
      <c r="H457" s="57"/>
      <c r="I457" s="57"/>
      <c r="J457" s="57"/>
      <c r="K457" s="57" t="s">
        <v>40</v>
      </c>
      <c r="L457" s="57"/>
      <c r="M457" s="57"/>
      <c r="N457" s="57"/>
      <c r="O457" s="57"/>
      <c r="P457" s="57"/>
      <c r="Q457" s="57"/>
      <c r="R457" s="57"/>
      <c r="S457" s="60"/>
    </row>
    <row r="458" spans="1:19" x14ac:dyDescent="0.2">
      <c r="A458" s="56" t="s">
        <v>636</v>
      </c>
      <c r="B458" s="57" t="s">
        <v>837</v>
      </c>
      <c r="C458" s="57" t="s">
        <v>871</v>
      </c>
      <c r="D458" s="57" t="s">
        <v>638</v>
      </c>
      <c r="E458" s="58" t="str">
        <f t="shared" si="52"/>
        <v>s30q280_use_reason</v>
      </c>
      <c r="F458" s="57" t="str">
        <f>CONCATENATE("&lt;span style='color:blue;'&gt;Thức ăn tự trộn&lt;/span&gt;: Vì sao ông/bà quyết định sử dụng loại &lt;span style='color:blue;'&gt;${",E455,"}&lt;/span&gt; này?")</f>
        <v>&lt;span style='color:blue;'&gt;Thức ăn tự trộn&lt;/span&gt;: Vì sao ông/bà quyết định sử dụng loại &lt;span style='color:blue;'&gt;${s30c2_cur_hmmade_vitamin_name}&lt;/span&gt; này?</v>
      </c>
      <c r="G458" s="57" t="str">
        <f t="shared" si="53"/>
        <v>S30Q280: &lt;span style='color:blue;'&gt;Thức ăn tự trộn&lt;/span&gt;: Vì sao ông/bà quyết định sử dụng loại &lt;span style='color:blue;'&gt;${s30c2_cur_hmmade_vitamin_name}&lt;/span&gt; này?</v>
      </c>
      <c r="H458" s="57"/>
      <c r="I458" s="57"/>
      <c r="J458" s="57"/>
      <c r="K458" s="57" t="s">
        <v>40</v>
      </c>
      <c r="L458" s="57"/>
      <c r="M458" s="57"/>
      <c r="N458" s="57"/>
      <c r="O458" s="57"/>
      <c r="P458" s="57"/>
      <c r="Q458" s="57"/>
      <c r="R458" s="57"/>
      <c r="S458" s="60"/>
    </row>
    <row r="459" spans="1:19" x14ac:dyDescent="0.2">
      <c r="A459" s="56" t="s">
        <v>639</v>
      </c>
      <c r="B459" s="57" t="s">
        <v>837</v>
      </c>
      <c r="C459" s="57" t="s">
        <v>872</v>
      </c>
      <c r="D459" s="57" t="s">
        <v>641</v>
      </c>
      <c r="E459" s="58" t="str">
        <f t="shared" si="52"/>
        <v>s30q281_source</v>
      </c>
      <c r="F459" s="57" t="str">
        <f>CONCATENATE("&lt;span style='color:blue;'&gt;Thức ăn tự trộn&lt;/span&gt;: Ông/bà mua &lt;span style='color:blue;'&gt;${",E455,"}&lt;/span&gt;  ở đâu?")</f>
        <v>&lt;span style='color:blue;'&gt;Thức ăn tự trộn&lt;/span&gt;: Ông/bà mua &lt;span style='color:blue;'&gt;${s30c2_cur_hmmade_vitamin_name}&lt;/span&gt;  ở đâu?</v>
      </c>
      <c r="G459" s="57" t="str">
        <f t="shared" si="53"/>
        <v>S30Q281: &lt;span style='color:blue;'&gt;Thức ăn tự trộn&lt;/span&gt;: Ông/bà mua &lt;span style='color:blue;'&gt;${s30c2_cur_hmmade_vitamin_name}&lt;/span&gt;  ở đâu?</v>
      </c>
      <c r="H459" s="57"/>
      <c r="I459" s="57"/>
      <c r="J459" s="57"/>
      <c r="K459" s="57" t="s">
        <v>40</v>
      </c>
      <c r="L459" s="57"/>
      <c r="M459" s="57"/>
      <c r="N459" s="57"/>
      <c r="O459" s="57"/>
      <c r="P459" s="57"/>
      <c r="Q459" s="57"/>
      <c r="R459" s="57"/>
      <c r="S459" s="60"/>
    </row>
    <row r="460" spans="1:19" x14ac:dyDescent="0.2">
      <c r="A460" s="56" t="s">
        <v>645</v>
      </c>
      <c r="B460" s="57" t="s">
        <v>837</v>
      </c>
      <c r="C460" s="57" t="s">
        <v>873</v>
      </c>
      <c r="D460" s="57" t="s">
        <v>647</v>
      </c>
      <c r="E460" s="58" t="str">
        <f t="shared" si="52"/>
        <v>s30q282_who_admin</v>
      </c>
      <c r="F460" s="57" t="str">
        <f>CONCATENATE("&lt;span style='color:blue;'&gt;Thức ăn tự trộn&lt;/span&gt;: Ai là người dùng/trộn/tiêm &lt;span style='color:blue;'&gt;${",E455,"}&lt;/span&gt; cho đàn gà??")</f>
        <v>&lt;span style='color:blue;'&gt;Thức ăn tự trộn&lt;/span&gt;: Ai là người dùng/trộn/tiêm &lt;span style='color:blue;'&gt;${s30c2_cur_hmmade_vitamin_name}&lt;/span&gt; cho đàn gà??</v>
      </c>
      <c r="G460" s="57" t="str">
        <f t="shared" si="53"/>
        <v>S30Q282: &lt;span style='color:blue;'&gt;Thức ăn tự trộn&lt;/span&gt;: Ai là người dùng/trộn/tiêm &lt;span style='color:blue;'&gt;${s30c2_cur_hmmade_vitamin_name}&lt;/span&gt; cho đàn gà??</v>
      </c>
      <c r="H460" s="57"/>
      <c r="I460" s="57"/>
      <c r="J460" s="57"/>
      <c r="K460" s="57" t="s">
        <v>40</v>
      </c>
      <c r="L460" s="57"/>
      <c r="M460" s="57"/>
      <c r="N460" s="57"/>
      <c r="O460" s="57"/>
      <c r="P460" s="57"/>
      <c r="Q460" s="57"/>
      <c r="R460" s="57"/>
      <c r="S460" s="60"/>
    </row>
    <row r="461" spans="1:19" x14ac:dyDescent="0.2">
      <c r="A461" s="56" t="s">
        <v>648</v>
      </c>
      <c r="B461" s="57" t="s">
        <v>837</v>
      </c>
      <c r="C461" s="57" t="s">
        <v>874</v>
      </c>
      <c r="D461" s="57" t="s">
        <v>650</v>
      </c>
      <c r="E461" s="58" t="str">
        <f t="shared" si="52"/>
        <v>s30q283_how_knowhow</v>
      </c>
      <c r="F461" s="57" t="str">
        <f>CONCATENATE("&lt;span style='color:blue;'&gt;Thức ăn tự trộn&lt;/span&gt;:  Làm thế nào ông/bà hay họ biết cách sử dụng &lt;span style='color:blue;'&gt;${",E455,"}&lt;/span&gt;?")</f>
        <v>&lt;span style='color:blue;'&gt;Thức ăn tự trộn&lt;/span&gt;:  Làm thế nào ông/bà hay họ biết cách sử dụng &lt;span style='color:blue;'&gt;${s30c2_cur_hmmade_vitamin_name}&lt;/span&gt;?</v>
      </c>
      <c r="G461" s="57" t="str">
        <f t="shared" si="53"/>
        <v>S30Q283: &lt;span style='color:blue;'&gt;Thức ăn tự trộn&lt;/span&gt;:  Làm thế nào ông/bà hay họ biết cách sử dụng &lt;span style='color:blue;'&gt;${s30c2_cur_hmmade_vitamin_name}&lt;/span&gt;?</v>
      </c>
      <c r="H461" s="57"/>
      <c r="I461" s="57"/>
      <c r="J461" s="57"/>
      <c r="K461" s="57" t="s">
        <v>40</v>
      </c>
      <c r="L461" s="57"/>
      <c r="M461" s="57" t="str">
        <f>CONCATENATE("selected(${",E460,"},'myself') or selected(${",E460,"},'farm_worker') or selected(${",E460,"},'friends')")</f>
        <v>selected(${s30q282_who_admin},'myself') or selected(${s30q282_who_admin},'farm_worker') or selected(${s30q282_who_admin},'friends')</v>
      </c>
      <c r="N461" s="57"/>
      <c r="O461" s="57"/>
      <c r="P461" s="57"/>
      <c r="Q461" s="57"/>
      <c r="R461" s="57"/>
      <c r="S461" s="60"/>
    </row>
    <row r="462" spans="1:19" x14ac:dyDescent="0.2">
      <c r="A462" s="56" t="s">
        <v>88</v>
      </c>
      <c r="B462" s="57" t="s">
        <v>837</v>
      </c>
      <c r="C462" s="57" t="s">
        <v>875</v>
      </c>
      <c r="D462" s="57" t="s">
        <v>652</v>
      </c>
      <c r="E462" s="58" t="str">
        <f t="shared" si="52"/>
        <v>s30q284_no_occassions</v>
      </c>
      <c r="F462" s="57" t="str">
        <f>CONCATENATE("&lt;span style='color:blue;'&gt;Thức ăn tự trộn&lt;/span&gt;: Ông/bà dùng &lt;span style='color:blue;'&gt;${",E455,"}&lt;/span&gt; cho đàn gà của mình bao nhiêu lần?")</f>
        <v>&lt;span style='color:blue;'&gt;Thức ăn tự trộn&lt;/span&gt;: Ông/bà dùng &lt;span style='color:blue;'&gt;${s30c2_cur_hmmade_vitamin_name}&lt;/span&gt; cho đàn gà của mình bao nhiêu lần?</v>
      </c>
      <c r="G462" s="57" t="str">
        <f t="shared" si="53"/>
        <v>S30Q284: &lt;span style='color:blue;'&gt;Thức ăn tự trộn&lt;/span&gt;: Ông/bà dùng &lt;span style='color:blue;'&gt;${s30c2_cur_hmmade_vitamin_name}&lt;/span&gt; cho đàn gà của mình bao nhiêu lần?</v>
      </c>
      <c r="H462" s="57"/>
      <c r="I462" s="57" t="s">
        <v>184</v>
      </c>
      <c r="J462" s="57"/>
      <c r="K462" s="57" t="s">
        <v>40</v>
      </c>
      <c r="L462" s="57"/>
      <c r="M462" s="57"/>
      <c r="N462" s="57"/>
      <c r="O462" s="57"/>
      <c r="P462" s="57"/>
      <c r="Q462" s="57"/>
      <c r="R462" s="57"/>
      <c r="S462" s="60"/>
    </row>
    <row r="463" spans="1:19" x14ac:dyDescent="0.2">
      <c r="A463" s="62" t="s">
        <v>74</v>
      </c>
      <c r="C463" s="4" t="s">
        <v>43</v>
      </c>
      <c r="S463" s="63"/>
    </row>
    <row r="464" spans="1:19" x14ac:dyDescent="0.2">
      <c r="A464" s="56" t="s">
        <v>123</v>
      </c>
      <c r="B464" s="57" t="s">
        <v>837</v>
      </c>
      <c r="C464" s="57" t="s">
        <v>43</v>
      </c>
      <c r="D464" s="57" t="s">
        <v>876</v>
      </c>
      <c r="E464" s="58" t="str">
        <f>CONCATENATE(B464,C464,"_",D464)</f>
        <v>s30_rpt_hmmade_vit_occ</v>
      </c>
      <c r="F464" s="57" t="s">
        <v>654</v>
      </c>
      <c r="G464" s="57" t="str">
        <f>CONCATENATE(UPPER(B464),UPPER(C464),": ",F464)</f>
        <v>S30: Chi tiết các lần dùng</v>
      </c>
      <c r="H464" s="57"/>
      <c r="I464" s="57"/>
      <c r="J464" s="57"/>
      <c r="K464" s="57"/>
      <c r="L464" s="57"/>
      <c r="M464" s="57"/>
      <c r="N464" s="57"/>
      <c r="O464" s="57" t="str">
        <f>CONCATENATE("${",E462,"}")</f>
        <v>${s30q284_no_occassions}</v>
      </c>
      <c r="P464" s="57"/>
      <c r="Q464" s="57"/>
      <c r="R464" s="57"/>
      <c r="S464" s="60"/>
    </row>
    <row r="465" spans="1:19" x14ac:dyDescent="0.2">
      <c r="A465" s="71" t="s">
        <v>127</v>
      </c>
      <c r="B465" s="72" t="s">
        <v>655</v>
      </c>
      <c r="C465" s="72" t="s">
        <v>128</v>
      </c>
      <c r="D465" s="57" t="s">
        <v>877</v>
      </c>
      <c r="E465" s="73" t="str">
        <f>CONCATENATE(B465,C465,"_",D465)</f>
        <v>s36c1_cur_rpt_hmmade_vitamin_name</v>
      </c>
      <c r="F465" s="72"/>
      <c r="G465" s="72"/>
      <c r="H465" s="72"/>
      <c r="I465" s="72"/>
      <c r="J465" s="72"/>
      <c r="K465" s="72"/>
      <c r="L465" s="72"/>
      <c r="M465" s="72"/>
      <c r="N465" s="72"/>
      <c r="O465" s="72"/>
      <c r="P465" s="72" t="str">
        <f>CONCATENATE("${",E455,"}")</f>
        <v>${s30c2_cur_hmmade_vitamin_name}</v>
      </c>
      <c r="Q465" s="72"/>
      <c r="R465" s="72"/>
      <c r="S465" s="75"/>
    </row>
    <row r="466" spans="1:19" x14ac:dyDescent="0.2">
      <c r="A466" s="56" t="s">
        <v>127</v>
      </c>
      <c r="B466" s="57" t="s">
        <v>837</v>
      </c>
      <c r="C466" s="57" t="s">
        <v>128</v>
      </c>
      <c r="D466" s="57" t="s">
        <v>878</v>
      </c>
      <c r="E466" s="58" t="str">
        <f>CONCATENATE(B466,C466,"_",D466)</f>
        <v>s30c1_cur_hmmade_vit_occassion</v>
      </c>
      <c r="F466" s="57"/>
      <c r="G466" s="57"/>
      <c r="H466" s="57"/>
      <c r="I466" s="57"/>
      <c r="J466" s="57"/>
      <c r="K466" s="57"/>
      <c r="L466" s="57"/>
      <c r="M466" s="57"/>
      <c r="N466" s="57"/>
      <c r="O466" s="57"/>
      <c r="P466" s="57" t="s">
        <v>658</v>
      </c>
      <c r="Q466" s="57"/>
      <c r="R466" s="57"/>
      <c r="S466" s="60"/>
    </row>
    <row r="467" spans="1:19" x14ac:dyDescent="0.2">
      <c r="A467" s="56" t="s">
        <v>88</v>
      </c>
      <c r="B467" s="57" t="s">
        <v>837</v>
      </c>
      <c r="C467" s="57" t="s">
        <v>879</v>
      </c>
      <c r="D467" s="57" t="s">
        <v>660</v>
      </c>
      <c r="E467" s="58" t="str">
        <f>CONCATENATE(B467,C467,"_",D467)</f>
        <v>s30q285_birds_age</v>
      </c>
      <c r="F467" s="57" t="str">
        <f>CONCATENATE("Ông/bà dùng &lt;span style='color:blue;'&gt;${",E465,"}&lt;/span&gt;  &lt;span style='color:blue;'&gt;${",E466,"}&lt;/span&gt; lần đầu cho đàn gà vào giai đoạn tuổi nào? (Lưu ý: tính theo tuần tuổi)?")</f>
        <v>Ông/bà dùng &lt;span style='color:blue;'&gt;${s36c1_cur_rpt_hmmade_vitamin_name}&lt;/span&gt;  &lt;span style='color:blue;'&gt;${s30c1_cur_hmmade_vit_occassion}&lt;/span&gt; lần đầu cho đàn gà vào giai đoạn tuổi nào? (Lưu ý: tính theo tuần tuổi)?</v>
      </c>
      <c r="G467" s="57" t="str">
        <f>CONCATENATE(UPPER(B467),UPPER(C467),": ",F467)</f>
        <v>S30Q285: Ông/bà dùng &lt;span style='color:blue;'&gt;${s36c1_cur_rpt_hmmade_vitamin_name}&lt;/span&gt;  &lt;span style='color:blue;'&gt;${s30c1_cur_hmmade_vit_occassion}&lt;/span&gt; lần đầu cho đàn gà vào giai đoạn tuổi nào? (Lưu ý: tính theo tuần tuổi)?</v>
      </c>
      <c r="H467" s="57" t="s">
        <v>2621</v>
      </c>
      <c r="I467" s="57" t="s">
        <v>106</v>
      </c>
      <c r="J467" s="57"/>
      <c r="K467" s="57" t="s">
        <v>40</v>
      </c>
      <c r="L467" s="57"/>
      <c r="M467" s="57"/>
      <c r="N467" s="57"/>
      <c r="O467" s="57"/>
      <c r="P467" s="57"/>
      <c r="Q467" s="57"/>
      <c r="R467" s="57"/>
      <c r="S467" s="60"/>
    </row>
    <row r="468" spans="1:19" x14ac:dyDescent="0.2">
      <c r="A468" s="56" t="s">
        <v>88</v>
      </c>
      <c r="B468" s="57" t="s">
        <v>837</v>
      </c>
      <c r="C468" s="57" t="s">
        <v>880</v>
      </c>
      <c r="D468" s="57" t="s">
        <v>598</v>
      </c>
      <c r="E468" s="58" t="str">
        <f>CONCATENATE(B468,C468,"_",D468)</f>
        <v>s30q286_cost</v>
      </c>
      <c r="F468" s="57" t="str">
        <f>CONCATENATE("Chi phí cho &lt;span style='color:blue;'&gt;${",E465,"}&lt;/span&gt; lần dùng đó &lt;span style='color:blue;'&gt;${",E466,"}&lt;/span&gt; là khoảng bao nhiêu? (Lưu ý: tính bằng nghìn VNĐ)?")</f>
        <v>Chi phí cho &lt;span style='color:blue;'&gt;${s36c1_cur_rpt_hmmade_vitamin_name}&lt;/span&gt; lần dùng đó &lt;span style='color:blue;'&gt;${s30c1_cur_hmmade_vit_occassion}&lt;/span&gt; là khoảng bao nhiêu? (Lưu ý: tính bằng nghìn VNĐ)?</v>
      </c>
      <c r="G468" s="57" t="str">
        <f>CONCATENATE(UPPER(B468),UPPER(C468),": ",F468)</f>
        <v>S30Q286: Chi phí cho &lt;span style='color:blue;'&gt;${s36c1_cur_rpt_hmmade_vitamin_name}&lt;/span&gt; lần dùng đó &lt;span style='color:blue;'&gt;${s30c1_cur_hmmade_vit_occassion}&lt;/span&gt; là khoảng bao nhiêu? (Lưu ý: tính bằng nghìn VNĐ)?</v>
      </c>
      <c r="H468" s="57" t="s">
        <v>2617</v>
      </c>
      <c r="I468" s="57" t="s">
        <v>106</v>
      </c>
      <c r="J468" s="57"/>
      <c r="K468" s="57" t="s">
        <v>40</v>
      </c>
      <c r="L468" s="57"/>
      <c r="M468" s="57"/>
      <c r="N468" s="57"/>
      <c r="O468" s="57"/>
      <c r="P468" s="57"/>
      <c r="Q468" s="57"/>
      <c r="R468" s="57"/>
      <c r="S468" s="60"/>
    </row>
    <row r="469" spans="1:19" x14ac:dyDescent="0.2">
      <c r="A469" s="62" t="s">
        <v>147</v>
      </c>
      <c r="C469" s="4" t="s">
        <v>43</v>
      </c>
      <c r="S469" s="63"/>
    </row>
    <row r="470" spans="1:19" ht="12.75" thickBot="1" x14ac:dyDescent="0.25">
      <c r="A470" s="64" t="s">
        <v>147</v>
      </c>
      <c r="B470" s="65"/>
      <c r="C470" s="65" t="s">
        <v>43</v>
      </c>
      <c r="D470" s="65"/>
      <c r="E470" s="65"/>
      <c r="F470" s="65"/>
      <c r="G470" s="65"/>
      <c r="H470" s="65"/>
      <c r="I470" s="65"/>
      <c r="J470" s="65"/>
      <c r="K470" s="65"/>
      <c r="L470" s="65"/>
      <c r="M470" s="65"/>
      <c r="N470" s="65"/>
      <c r="O470" s="65"/>
      <c r="P470" s="65"/>
      <c r="Q470" s="65"/>
      <c r="R470" s="65"/>
      <c r="S470" s="66"/>
    </row>
    <row r="471" spans="1:19" x14ac:dyDescent="0.2">
      <c r="A471" s="8" t="s">
        <v>41</v>
      </c>
      <c r="B471" s="8" t="s">
        <v>881</v>
      </c>
      <c r="C471" s="8" t="s">
        <v>43</v>
      </c>
      <c r="D471" s="8" t="s">
        <v>882</v>
      </c>
      <c r="E471" s="9" t="str">
        <f>CONCATENATE(B471,C471,"_",D471)</f>
        <v>s31_grp_store</v>
      </c>
      <c r="F471" s="8" t="s">
        <v>2698</v>
      </c>
      <c r="G471" s="8" t="str">
        <f>CONCATENATE(UPPER(B471),UPPER(C471),": ",F471)</f>
        <v>S31: Bảo quản thức ăn</v>
      </c>
      <c r="H471" s="8"/>
      <c r="I471" s="8"/>
      <c r="J471" s="8"/>
      <c r="K471" s="8"/>
      <c r="L471" s="8"/>
      <c r="M471" s="8"/>
      <c r="N471" s="8"/>
      <c r="O471" s="8"/>
      <c r="P471" s="8"/>
      <c r="Q471" s="8"/>
      <c r="R471" s="8"/>
      <c r="S471" s="8"/>
    </row>
    <row r="472" spans="1:19" x14ac:dyDescent="0.2">
      <c r="A472" s="8" t="s">
        <v>883</v>
      </c>
      <c r="B472" s="8" t="s">
        <v>881</v>
      </c>
      <c r="C472" s="8" t="s">
        <v>884</v>
      </c>
      <c r="D472" s="8" t="s">
        <v>885</v>
      </c>
      <c r="E472" s="9" t="str">
        <f>CONCATENATE(B472,C472,"_",D472)</f>
        <v>s31q287_feed_store</v>
      </c>
      <c r="F472" s="8" t="s">
        <v>2699</v>
      </c>
      <c r="G472" s="8" t="str">
        <f>CONCATENATE(UPPER(B472),UPPER(C472),": ",F472)</f>
        <v>S31Q287: Ông/bà bảo quản thức ăn cho gà ở đâu?</v>
      </c>
      <c r="H472" s="8"/>
      <c r="I472" s="8"/>
      <c r="J472" s="8"/>
      <c r="K472" s="8" t="s">
        <v>40</v>
      </c>
      <c r="L472" s="8" t="s">
        <v>50</v>
      </c>
      <c r="M472" s="8"/>
      <c r="N472" s="8"/>
      <c r="O472" s="8"/>
      <c r="P472" s="8"/>
      <c r="Q472" s="8"/>
      <c r="R472" s="8"/>
      <c r="S472" s="8"/>
    </row>
    <row r="473" spans="1:19" x14ac:dyDescent="0.2">
      <c r="A473" s="8" t="s">
        <v>886</v>
      </c>
      <c r="B473" s="8" t="s">
        <v>881</v>
      </c>
      <c r="C473" s="8" t="s">
        <v>887</v>
      </c>
      <c r="D473" s="8" t="s">
        <v>888</v>
      </c>
      <c r="E473" s="9" t="str">
        <f>CONCATENATE(B473,C473,"_",D473)</f>
        <v>s31q288_store_floor</v>
      </c>
      <c r="F473" s="8" t="s">
        <v>2700</v>
      </c>
      <c r="G473" s="8" t="str">
        <f>CONCATENATE(UPPER(B473),UPPER(C473),": ",F473)</f>
        <v xml:space="preserve">S31Q288: Ông/bà bảo quản thức ăn cho gà như thế nào? </v>
      </c>
      <c r="H473" s="8"/>
      <c r="I473" s="8"/>
      <c r="J473" s="8"/>
      <c r="K473" s="8" t="s">
        <v>40</v>
      </c>
      <c r="L473" s="8" t="s">
        <v>50</v>
      </c>
      <c r="M473" s="8" t="str">
        <f>CONCATENATE("not(selected(${",E472,"},'use_all'))")</f>
        <v>not(selected(${s31q287_feed_store},'use_all'))</v>
      </c>
      <c r="N473" s="8"/>
      <c r="O473" s="8"/>
      <c r="P473" s="8"/>
      <c r="Q473" s="8"/>
      <c r="R473" s="8"/>
      <c r="S473" s="8"/>
    </row>
    <row r="474" spans="1:19" x14ac:dyDescent="0.2">
      <c r="A474" s="8" t="s">
        <v>67</v>
      </c>
      <c r="B474" s="8" t="s">
        <v>881</v>
      </c>
      <c r="C474" s="8" t="s">
        <v>889</v>
      </c>
      <c r="D474" s="8" t="s">
        <v>890</v>
      </c>
      <c r="E474" s="9" t="str">
        <f>CONCATENATE(B474,C474,"_",D474)</f>
        <v>s31q289_is_store_sealed</v>
      </c>
      <c r="F474" s="8" t="s">
        <v>2701</v>
      </c>
      <c r="G474" s="8" t="str">
        <f>CONCATENATE(UPPER(B474),UPPER(C474),": ",F474)</f>
        <v xml:space="preserve">S31Q289: Phòng (khu vực) bảo quản thức ăn có ngăn cách hoàn toàn với nước, gia cầm và sâu bọ không? </v>
      </c>
      <c r="H474" s="8"/>
      <c r="I474" s="8"/>
      <c r="J474" s="8"/>
      <c r="K474" s="8" t="s">
        <v>40</v>
      </c>
      <c r="L474" s="8" t="s">
        <v>50</v>
      </c>
      <c r="M474" s="8" t="str">
        <f>CONCATENATE("not(selected(${",E472,"},'use_all'))")</f>
        <v>not(selected(${s31q287_feed_store},'use_all'))</v>
      </c>
      <c r="N474" s="8"/>
      <c r="O474" s="8"/>
      <c r="P474" s="8"/>
      <c r="Q474" s="8"/>
      <c r="R474" s="8"/>
      <c r="S474" s="8"/>
    </row>
    <row r="475" spans="1:19" x14ac:dyDescent="0.2">
      <c r="A475" s="4" t="s">
        <v>74</v>
      </c>
      <c r="C475" s="4" t="s">
        <v>43</v>
      </c>
    </row>
    <row r="476" spans="1:19" x14ac:dyDescent="0.2">
      <c r="A476" s="26" t="s">
        <v>41</v>
      </c>
      <c r="B476" s="26" t="s">
        <v>891</v>
      </c>
      <c r="C476" s="26" t="s">
        <v>43</v>
      </c>
      <c r="D476" s="26" t="s">
        <v>892</v>
      </c>
      <c r="E476" s="12" t="str">
        <f t="shared" ref="E476:E481" si="54">CONCATENATE(B476,C476,"_",D476)</f>
        <v>s32_grp_vaccines</v>
      </c>
      <c r="F476" s="26" t="s">
        <v>2702</v>
      </c>
      <c r="G476" s="26" t="str">
        <f t="shared" ref="G476:G481" si="55">CONCATENATE(UPPER(B476),UPPER(C476),": ",F476)</f>
        <v>S32: Sử dụng các vắc xin</v>
      </c>
      <c r="H476" s="26"/>
      <c r="I476" s="26"/>
      <c r="J476" s="26"/>
      <c r="K476" s="26"/>
      <c r="L476" s="26"/>
      <c r="M476" s="26"/>
      <c r="N476" s="26"/>
      <c r="O476" s="26"/>
      <c r="P476" s="26"/>
      <c r="Q476" s="26"/>
      <c r="R476" s="26"/>
      <c r="S476" s="26"/>
    </row>
    <row r="477" spans="1:19" x14ac:dyDescent="0.2">
      <c r="A477" s="26" t="s">
        <v>67</v>
      </c>
      <c r="B477" s="26" t="s">
        <v>891</v>
      </c>
      <c r="C477" s="26" t="s">
        <v>893</v>
      </c>
      <c r="D477" s="26" t="s">
        <v>894</v>
      </c>
      <c r="E477" s="12" t="str">
        <f t="shared" si="54"/>
        <v>s32q290_is_doc_vaccinated</v>
      </c>
      <c r="F477" s="26" t="s">
        <v>2703</v>
      </c>
      <c r="G477" s="26" t="str">
        <f t="shared" si="55"/>
        <v>S32Q290: Khi bắt đầu nhận gà giống, ông/bà có biết thông tin về đàn đã được tiêm vắc-xin hay chưa?</v>
      </c>
      <c r="H477" s="26" t="s">
        <v>2768</v>
      </c>
      <c r="I477" s="26"/>
      <c r="J477" s="26"/>
      <c r="K477" s="26" t="s">
        <v>40</v>
      </c>
      <c r="L477" s="26" t="s">
        <v>50</v>
      </c>
      <c r="M477" s="26"/>
      <c r="N477" s="26"/>
      <c r="O477" s="26"/>
      <c r="P477" s="26"/>
      <c r="Q477" s="26"/>
      <c r="R477" s="26"/>
      <c r="S477" s="26"/>
    </row>
    <row r="478" spans="1:19" x14ac:dyDescent="0.2">
      <c r="A478" s="26" t="s">
        <v>895</v>
      </c>
      <c r="B478" s="26" t="s">
        <v>891</v>
      </c>
      <c r="C478" s="26" t="s">
        <v>896</v>
      </c>
      <c r="D478" s="26" t="s">
        <v>897</v>
      </c>
      <c r="E478" s="12" t="str">
        <f t="shared" si="54"/>
        <v>s32q291_vacc_info_source</v>
      </c>
      <c r="F478" s="26" t="s">
        <v>2704</v>
      </c>
      <c r="G478" s="26" t="str">
        <f t="shared" si="55"/>
        <v xml:space="preserve">S32Q291: Làm cách nào ông/bà biết được đàn gà đã được tiêm vắc-xin? </v>
      </c>
      <c r="H478" s="26"/>
      <c r="I478" s="26"/>
      <c r="J478" s="26"/>
      <c r="K478" s="26" t="s">
        <v>40</v>
      </c>
      <c r="L478" s="26" t="s">
        <v>50</v>
      </c>
      <c r="M478" s="26" t="str">
        <f>CONCATENATE("selected(${",E477,"},'yes')")</f>
        <v>selected(${s32q290_is_doc_vaccinated},'yes')</v>
      </c>
      <c r="N478" s="26"/>
      <c r="O478" s="26"/>
      <c r="P478" s="26"/>
      <c r="Q478" s="26"/>
      <c r="R478" s="26"/>
      <c r="S478" s="26"/>
    </row>
    <row r="479" spans="1:19" x14ac:dyDescent="0.2">
      <c r="A479" s="26" t="s">
        <v>898</v>
      </c>
      <c r="B479" s="26" t="s">
        <v>891</v>
      </c>
      <c r="C479" s="26" t="s">
        <v>899</v>
      </c>
      <c r="D479" s="26" t="s">
        <v>900</v>
      </c>
      <c r="E479" s="12" t="str">
        <f t="shared" si="54"/>
        <v>s32q292_vacc_types</v>
      </c>
      <c r="F479" s="26" t="s">
        <v>2705</v>
      </c>
      <c r="G479" s="26" t="str">
        <f t="shared" si="55"/>
        <v>S32Q292: Và ông/bà có biết loại vắc-xin nào đã được tiêm/nhỏ không?</v>
      </c>
      <c r="H479" s="26"/>
      <c r="I479" s="26"/>
      <c r="J479" s="26"/>
      <c r="K479" s="26" t="s">
        <v>40</v>
      </c>
      <c r="L479" s="26"/>
      <c r="M479" s="26" t="str">
        <f>CONCATENATE("selected(${",E477,"},'yes')")</f>
        <v>selected(${s32q290_is_doc_vaccinated},'yes')</v>
      </c>
      <c r="N479" s="26"/>
      <c r="O479" s="26"/>
      <c r="P479" s="26"/>
      <c r="Q479" s="26"/>
      <c r="R479" s="26"/>
      <c r="S479" s="26"/>
    </row>
    <row r="480" spans="1:19" x14ac:dyDescent="0.2">
      <c r="A480" s="26" t="s">
        <v>67</v>
      </c>
      <c r="B480" s="26" t="s">
        <v>891</v>
      </c>
      <c r="C480" s="26" t="s">
        <v>901</v>
      </c>
      <c r="D480" s="26" t="s">
        <v>902</v>
      </c>
      <c r="E480" s="12" t="str">
        <f t="shared" si="54"/>
        <v>s32q293_is_vacc_last_cycle</v>
      </c>
      <c r="F480" s="26" t="s">
        <v>2706</v>
      </c>
      <c r="G480" s="26" t="str">
        <f t="shared" si="55"/>
        <v>S32Q293: Ông/bà có tiêm vắc-xin cho đàn gà lứa nuôi gần đây nhất không?</v>
      </c>
      <c r="H480" s="26"/>
      <c r="I480" s="26"/>
      <c r="J480" s="26"/>
      <c r="K480" s="26" t="s">
        <v>40</v>
      </c>
      <c r="L480" s="26" t="s">
        <v>50</v>
      </c>
      <c r="M480" s="26"/>
      <c r="N480" s="26"/>
      <c r="O480" s="26"/>
      <c r="P480" s="26"/>
      <c r="Q480" s="26"/>
      <c r="R480" s="26"/>
      <c r="S480" s="26"/>
    </row>
    <row r="481" spans="1:19" x14ac:dyDescent="0.2">
      <c r="A481" s="26" t="s">
        <v>898</v>
      </c>
      <c r="B481" s="26" t="s">
        <v>891</v>
      </c>
      <c r="C481" s="26" t="s">
        <v>903</v>
      </c>
      <c r="D481" s="26" t="s">
        <v>904</v>
      </c>
      <c r="E481" s="12" t="str">
        <f t="shared" si="54"/>
        <v>s32q294_vaccines_types</v>
      </c>
      <c r="F481" s="26" t="s">
        <v>2707</v>
      </c>
      <c r="G481" s="26" t="str">
        <f t="shared" si="55"/>
        <v xml:space="preserve">S32Q294: Loại vắc-xin nào ông/bà đã dùng (tiêm/nhỏ..)? </v>
      </c>
      <c r="H481" s="26"/>
      <c r="I481" s="26"/>
      <c r="J481" s="26"/>
      <c r="K481" s="26" t="s">
        <v>40</v>
      </c>
      <c r="L481" s="26"/>
      <c r="M481" s="26" t="str">
        <f>CONCATENATE("selected(${",E480,"},'yes')")</f>
        <v>selected(${s32q293_is_vacc_last_cycle},'yes')</v>
      </c>
      <c r="N481" s="26"/>
      <c r="O481" s="26"/>
      <c r="P481" s="26"/>
      <c r="Q481" s="26"/>
      <c r="R481" s="26"/>
      <c r="S481" s="26"/>
    </row>
    <row r="482" spans="1:19" x14ac:dyDescent="0.2">
      <c r="A482" s="4" t="s">
        <v>74</v>
      </c>
      <c r="C482" s="4" t="s">
        <v>43</v>
      </c>
    </row>
    <row r="483" spans="1:19" x14ac:dyDescent="0.2">
      <c r="A483" s="14" t="s">
        <v>123</v>
      </c>
      <c r="B483" s="14" t="s">
        <v>905</v>
      </c>
      <c r="C483" s="14" t="s">
        <v>43</v>
      </c>
      <c r="D483" s="14" t="s">
        <v>906</v>
      </c>
      <c r="E483" s="15" t="str">
        <f t="shared" ref="E483:E491" si="56">CONCATENATE(B483,C483,"_",D483)</f>
        <v>s33_rpt_vaccine_types</v>
      </c>
      <c r="F483" s="14" t="s">
        <v>2709</v>
      </c>
      <c r="G483" s="14" t="str">
        <f>CONCATENATE(UPPER(B483),UPPER(C483),": ",F483)</f>
        <v>S33: Vắc-xin</v>
      </c>
      <c r="H483" s="14"/>
      <c r="I483" s="14"/>
      <c r="J483" s="14"/>
      <c r="K483" s="14"/>
      <c r="L483" s="14"/>
      <c r="M483" s="14" t="str">
        <f>CONCATENATE("selected(${",E480,"},'yes')")</f>
        <v>selected(${s32q293_is_vacc_last_cycle},'yes')</v>
      </c>
      <c r="N483" s="14"/>
      <c r="O483" s="41" t="str">
        <f>CONCATENATE("count-selected(${",E481,"})")</f>
        <v>count-selected(${s32q294_vaccines_types})</v>
      </c>
      <c r="P483" s="14"/>
      <c r="Q483" s="14"/>
      <c r="R483" s="14"/>
      <c r="S483" s="14"/>
    </row>
    <row r="484" spans="1:19" x14ac:dyDescent="0.2">
      <c r="A484" s="14" t="s">
        <v>127</v>
      </c>
      <c r="B484" s="14" t="s">
        <v>905</v>
      </c>
      <c r="C484" s="14" t="s">
        <v>907</v>
      </c>
      <c r="D484" s="14" t="s">
        <v>908</v>
      </c>
      <c r="E484" s="15" t="str">
        <f t="shared" si="56"/>
        <v>s33c5_cur_vaccine</v>
      </c>
      <c r="F484" s="14"/>
      <c r="G484" s="14"/>
      <c r="H484" s="14"/>
      <c r="I484" s="14"/>
      <c r="J484" s="14"/>
      <c r="K484" s="14"/>
      <c r="L484" s="14"/>
      <c r="M484" s="14"/>
      <c r="N484" s="14"/>
      <c r="O484" s="14"/>
      <c r="P484" s="42" t="str">
        <f>CONCATENATE("selected-at(${",E481,"}, position(..)-1)")</f>
        <v>selected-at(${s32q294_vaccines_types}, position(..)-1)</v>
      </c>
      <c r="Q484" s="14"/>
      <c r="R484" s="14"/>
      <c r="S484" s="14"/>
    </row>
    <row r="485" spans="1:19" x14ac:dyDescent="0.2">
      <c r="A485" s="14" t="s">
        <v>127</v>
      </c>
      <c r="B485" s="14" t="s">
        <v>905</v>
      </c>
      <c r="C485" s="14" t="s">
        <v>909</v>
      </c>
      <c r="D485" s="14" t="s">
        <v>910</v>
      </c>
      <c r="E485" s="15" t="str">
        <f t="shared" si="56"/>
        <v>s33c6_cur_vaccine_name</v>
      </c>
      <c r="F485" s="14"/>
      <c r="G485" s="14"/>
      <c r="H485" s="14"/>
      <c r="I485" s="14"/>
      <c r="J485" s="14"/>
      <c r="K485" s="14"/>
      <c r="L485" s="14"/>
      <c r="M485" s="14"/>
      <c r="N485" s="14"/>
      <c r="O485" s="14"/>
      <c r="P485" s="42" t="str">
        <f>CONCATENATE("if(string-length(../",E484,") != 0,jr:choice-name(${",E484,"},'${",E481,"}'),'unknown')")</f>
        <v>if(string-length(../s33c5_cur_vaccine) != 0,jr:choice-name(${s33c5_cur_vaccine},'${s32q294_vaccines_types}'),'unknown')</v>
      </c>
      <c r="Q485" s="14"/>
      <c r="R485" s="14"/>
      <c r="S485" s="14"/>
    </row>
    <row r="486" spans="1:19" x14ac:dyDescent="0.2">
      <c r="A486" s="14" t="s">
        <v>41</v>
      </c>
      <c r="B486" s="14" t="s">
        <v>905</v>
      </c>
      <c r="C486" s="14" t="s">
        <v>43</v>
      </c>
      <c r="D486" s="14" t="s">
        <v>911</v>
      </c>
      <c r="E486" s="15" t="str">
        <f t="shared" si="56"/>
        <v>s33_grp_vacc_types</v>
      </c>
      <c r="F486" s="14" t="s">
        <v>2708</v>
      </c>
      <c r="G486" s="14" t="str">
        <f t="shared" ref="G486:G491" si="57">CONCATENATE(UPPER(B486),UPPER(C486),": ",F486)</f>
        <v>S33: Chi tiết các loại vắc-xin</v>
      </c>
      <c r="H486" s="14"/>
      <c r="I486" s="14"/>
      <c r="J486" s="14"/>
      <c r="K486" s="14"/>
      <c r="L486" s="14"/>
      <c r="M486" s="14"/>
      <c r="N486" s="14"/>
      <c r="O486" s="41"/>
      <c r="P486" s="14"/>
      <c r="Q486" s="14"/>
      <c r="R486" s="14"/>
      <c r="S486" s="14"/>
    </row>
    <row r="487" spans="1:19" x14ac:dyDescent="0.2">
      <c r="A487" s="14" t="s">
        <v>88</v>
      </c>
      <c r="B487" s="14" t="s">
        <v>905</v>
      </c>
      <c r="C487" s="14" t="s">
        <v>912</v>
      </c>
      <c r="D487" s="14" t="s">
        <v>660</v>
      </c>
      <c r="E487" s="15" t="str">
        <f t="shared" si="56"/>
        <v>s33q295_birds_age</v>
      </c>
      <c r="F487" s="14" t="str">
        <f>CONCATENATE("&lt;span style='color:blue;'&gt;${",E485,"}&lt;/span&gt;: Vắc-xin được tiêm/nhỏ ở giai đoạn tuổi nào của gà (tính theo ngày tuổi)?")</f>
        <v>&lt;span style='color:blue;'&gt;${s33c6_cur_vaccine_name}&lt;/span&gt;: Vắc-xin được tiêm/nhỏ ở giai đoạn tuổi nào của gà (tính theo ngày tuổi)?</v>
      </c>
      <c r="G487" s="14" t="str">
        <f t="shared" si="57"/>
        <v>S33Q295: &lt;span style='color:blue;'&gt;${s33c6_cur_vaccine_name}&lt;/span&gt;: Vắc-xin được tiêm/nhỏ ở giai đoạn tuổi nào của gà (tính theo ngày tuổi)?</v>
      </c>
      <c r="H487" s="14" t="s">
        <v>913</v>
      </c>
      <c r="I487" s="14" t="s">
        <v>184</v>
      </c>
      <c r="J487" s="14"/>
      <c r="K487" s="14" t="s">
        <v>40</v>
      </c>
      <c r="L487" s="14"/>
      <c r="M487" s="14"/>
      <c r="N487" s="14"/>
      <c r="O487" s="14"/>
      <c r="P487" s="14"/>
      <c r="Q487" s="14"/>
      <c r="R487" s="14"/>
      <c r="S487" s="14"/>
    </row>
    <row r="488" spans="1:19" x14ac:dyDescent="0.2">
      <c r="A488" s="14" t="s">
        <v>914</v>
      </c>
      <c r="B488" s="14" t="s">
        <v>905</v>
      </c>
      <c r="C488" s="14" t="s">
        <v>915</v>
      </c>
      <c r="D488" s="14" t="s">
        <v>916</v>
      </c>
      <c r="E488" s="15" t="str">
        <f t="shared" si="56"/>
        <v>s33q296_vacc_admin</v>
      </c>
      <c r="F488" s="14" t="str">
        <f>CONCATENATE("&lt;span style='color:blue;'&gt;${",E485,"}&lt;/span&gt;: Ai là người tiêm/nhỏ vắc-xin?")</f>
        <v>&lt;span style='color:blue;'&gt;${s33c6_cur_vaccine_name}&lt;/span&gt;: Ai là người tiêm/nhỏ vắc-xin?</v>
      </c>
      <c r="G488" s="14" t="str">
        <f t="shared" si="57"/>
        <v>S33Q296: &lt;span style='color:blue;'&gt;${s33c6_cur_vaccine_name}&lt;/span&gt;: Ai là người tiêm/nhỏ vắc-xin?</v>
      </c>
      <c r="H488" s="14"/>
      <c r="I488" s="14"/>
      <c r="J488" s="14"/>
      <c r="K488" s="14" t="s">
        <v>40</v>
      </c>
      <c r="L488" s="14"/>
      <c r="M488" s="14"/>
      <c r="N488" s="14"/>
      <c r="O488" s="14"/>
      <c r="P488" s="14"/>
      <c r="Q488" s="14"/>
      <c r="R488" s="14"/>
      <c r="S488" s="14"/>
    </row>
    <row r="489" spans="1:19" x14ac:dyDescent="0.2">
      <c r="A489" s="14" t="s">
        <v>917</v>
      </c>
      <c r="B489" s="14" t="s">
        <v>905</v>
      </c>
      <c r="C489" s="14" t="s">
        <v>918</v>
      </c>
      <c r="D489" s="14" t="s">
        <v>919</v>
      </c>
      <c r="E489" s="15" t="str">
        <f t="shared" si="56"/>
        <v>s33q297_vacc_how_admin</v>
      </c>
      <c r="F489" s="14" t="str">
        <f>CONCATENATE("&lt;span style='color:blue;'&gt;${",E485,"}&lt;/span&gt;: Đường dùng vắc-xin là gì?")</f>
        <v>&lt;span style='color:blue;'&gt;${s33c6_cur_vaccine_name}&lt;/span&gt;: Đường dùng vắc-xin là gì?</v>
      </c>
      <c r="G489" s="14" t="str">
        <f t="shared" si="57"/>
        <v>S33Q297: &lt;span style='color:blue;'&gt;${s33c6_cur_vaccine_name}&lt;/span&gt;: Đường dùng vắc-xin là gì?</v>
      </c>
      <c r="H489" s="14"/>
      <c r="I489" s="14"/>
      <c r="J489" s="14"/>
      <c r="K489" s="14" t="s">
        <v>40</v>
      </c>
      <c r="L489" s="14" t="s">
        <v>50</v>
      </c>
      <c r="M489" s="14"/>
      <c r="N489" s="14"/>
      <c r="O489" s="14"/>
      <c r="P489" s="14"/>
      <c r="Q489" s="14"/>
      <c r="R489" s="14"/>
      <c r="S489" s="14"/>
    </row>
    <row r="490" spans="1:19" x14ac:dyDescent="0.2">
      <c r="A490" s="14" t="s">
        <v>920</v>
      </c>
      <c r="B490" s="14" t="s">
        <v>905</v>
      </c>
      <c r="C490" s="14" t="s">
        <v>921</v>
      </c>
      <c r="D490" s="14" t="s">
        <v>922</v>
      </c>
      <c r="E490" s="15" t="str">
        <f t="shared" si="56"/>
        <v>s33q298_vacc_reason</v>
      </c>
      <c r="F490" s="14" t="str">
        <f>CONCATENATE("&lt;span style='color:blue;'&gt;${",E485,"}&lt;/span&gt;: Tại sao ông/bà sử dụng loại vắc-xin đó?")</f>
        <v>&lt;span style='color:blue;'&gt;${s33c6_cur_vaccine_name}&lt;/span&gt;: Tại sao ông/bà sử dụng loại vắc-xin đó?</v>
      </c>
      <c r="G490" s="14" t="str">
        <f t="shared" si="57"/>
        <v>S33Q298: &lt;span style='color:blue;'&gt;${s33c6_cur_vaccine_name}&lt;/span&gt;: Tại sao ông/bà sử dụng loại vắc-xin đó?</v>
      </c>
      <c r="H490" s="14"/>
      <c r="I490" s="14"/>
      <c r="J490" s="14"/>
      <c r="K490" s="14" t="s">
        <v>40</v>
      </c>
      <c r="L490" s="14"/>
      <c r="M490" s="14"/>
      <c r="N490" s="14"/>
      <c r="O490" s="14"/>
      <c r="P490" s="14"/>
      <c r="Q490" s="14"/>
      <c r="R490" s="14"/>
      <c r="S490" s="14"/>
    </row>
    <row r="491" spans="1:19" x14ac:dyDescent="0.2">
      <c r="A491" s="14" t="s">
        <v>88</v>
      </c>
      <c r="B491" s="14" t="s">
        <v>905</v>
      </c>
      <c r="C491" s="14" t="s">
        <v>923</v>
      </c>
      <c r="D491" s="14" t="s">
        <v>924</v>
      </c>
      <c r="E491" s="15" t="str">
        <f t="shared" si="56"/>
        <v>s33q299_vacc_cost</v>
      </c>
      <c r="F491" s="14" t="str">
        <f>CONCATENATE("&lt;span style='color:blue;'&gt;${",E485,"}&lt;/span&gt;: Tổng chi phí của vắc-xin này cho toàn lứa đó là bao nhiêu?")</f>
        <v>&lt;span style='color:blue;'&gt;${s33c6_cur_vaccine_name}&lt;/span&gt;: Tổng chi phí của vắc-xin này cho toàn lứa đó là bao nhiêu?</v>
      </c>
      <c r="G491" s="14" t="str">
        <f t="shared" si="57"/>
        <v>S33Q299: &lt;span style='color:blue;'&gt;${s33c6_cur_vaccine_name}&lt;/span&gt;: Tổng chi phí của vắc-xin này cho toàn lứa đó là bao nhiêu?</v>
      </c>
      <c r="H491" s="14"/>
      <c r="I491" s="14" t="s">
        <v>106</v>
      </c>
      <c r="J491" s="14"/>
      <c r="K491" s="14" t="s">
        <v>40</v>
      </c>
      <c r="L491" s="14"/>
      <c r="M491" s="14"/>
      <c r="N491" s="14"/>
      <c r="O491" s="14"/>
      <c r="P491" s="14"/>
      <c r="Q491" s="14"/>
      <c r="R491" s="14"/>
      <c r="S491" s="14"/>
    </row>
    <row r="492" spans="1:19" x14ac:dyDescent="0.2">
      <c r="A492" s="4" t="s">
        <v>74</v>
      </c>
      <c r="C492" s="4" t="s">
        <v>43</v>
      </c>
      <c r="E492" s="6"/>
    </row>
    <row r="493" spans="1:19" x14ac:dyDescent="0.2">
      <c r="A493" s="4" t="s">
        <v>147</v>
      </c>
      <c r="C493" s="4" t="s">
        <v>43</v>
      </c>
    </row>
    <row r="494" spans="1:19" x14ac:dyDescent="0.2">
      <c r="A494" s="16" t="s">
        <v>67</v>
      </c>
      <c r="B494" s="16" t="s">
        <v>925</v>
      </c>
      <c r="C494" s="16" t="s">
        <v>926</v>
      </c>
      <c r="D494" s="16" t="s">
        <v>927</v>
      </c>
      <c r="E494" s="17" t="str">
        <f>CONCATENATE(B494,C494,"_",D494)</f>
        <v>s34q300_is_vacc_book</v>
      </c>
      <c r="F494" s="16" t="s">
        <v>2710</v>
      </c>
      <c r="G494" s="16" t="str">
        <f t="shared" ref="G494:G500" si="58">CONCATENATE(UPPER(B494),UPPER(C494),": ",F494)</f>
        <v xml:space="preserve">S34Q300: Ông/bà có sổ ghi chép/lưu thông tin vắc-xin tiêm không? </v>
      </c>
      <c r="H494" s="16"/>
      <c r="I494" s="16"/>
      <c r="J494" s="16"/>
      <c r="K494" s="16" t="s">
        <v>40</v>
      </c>
      <c r="L494" s="16" t="s">
        <v>50</v>
      </c>
      <c r="M494" s="16" t="str">
        <f>CONCATENATE("selected(${",E480,"},'yes')")</f>
        <v>selected(${s32q293_is_vacc_last_cycle},'yes')</v>
      </c>
      <c r="N494" s="16"/>
      <c r="O494" s="16"/>
      <c r="P494" s="16"/>
      <c r="Q494" s="16"/>
      <c r="R494" s="16"/>
      <c r="S494" s="16"/>
    </row>
    <row r="495" spans="1:19" x14ac:dyDescent="0.2">
      <c r="A495" s="16" t="s">
        <v>928</v>
      </c>
      <c r="B495" s="16" t="s">
        <v>925</v>
      </c>
      <c r="C495" s="16" t="s">
        <v>929</v>
      </c>
      <c r="D495" s="16" t="s">
        <v>930</v>
      </c>
      <c r="E495" s="17" t="str">
        <f>CONCATENATE(B495,C495,"_",D495)</f>
        <v>s34q301_vacc_book_pic</v>
      </c>
      <c r="F495" s="16" t="s">
        <v>2711</v>
      </c>
      <c r="G495" s="16" t="str">
        <f t="shared" si="58"/>
        <v xml:space="preserve">S34Q301: Nếu có, Xin chụp lại ảnh danh sách/ sổ ghi chép tiêm vắc-xin </v>
      </c>
      <c r="H495" s="16"/>
      <c r="I495" s="16"/>
      <c r="J495" s="16"/>
      <c r="K495" s="16" t="s">
        <v>40</v>
      </c>
      <c r="L495" s="16"/>
      <c r="M495" s="16" t="str">
        <f>CONCATENATE("selected(${",E494,"},'yes')")</f>
        <v>selected(${s34q300_is_vacc_book},'yes')</v>
      </c>
      <c r="N495" s="16"/>
      <c r="O495" s="16"/>
      <c r="P495" s="16"/>
      <c r="Q495" s="16"/>
      <c r="R495" s="16"/>
      <c r="S495" s="16" t="s">
        <v>931</v>
      </c>
    </row>
    <row r="496" spans="1:19" x14ac:dyDescent="0.2">
      <c r="A496" s="4" t="s">
        <v>294</v>
      </c>
      <c r="B496" s="4" t="s">
        <v>925</v>
      </c>
      <c r="C496" s="4" t="s">
        <v>43</v>
      </c>
      <c r="D496" s="4" t="s">
        <v>932</v>
      </c>
      <c r="E496" s="6" t="str">
        <f>CONCATENATE(B496,C496,"_",D496)</f>
        <v>s34_note_health_med_vit</v>
      </c>
      <c r="F496" s="4" t="s">
        <v>2763</v>
      </c>
      <c r="G496" s="4" t="str">
        <f t="shared" si="58"/>
        <v xml:space="preserve">S34: Sau đây là các câu hỏi về &lt;span style='color:blue;'&gt;health and medicine/vitamin&lt;/span&gt; ông/bà sử dụng &lt;span style='color:blue;'&gt;LỨA GÀ NUÔI GẦN ĐÂY NHẤT&lt;/span&gt; </v>
      </c>
      <c r="M496" s="4" t="s">
        <v>933</v>
      </c>
    </row>
    <row r="497" spans="1:19" x14ac:dyDescent="0.2">
      <c r="A497" s="21" t="s">
        <v>67</v>
      </c>
      <c r="B497" s="21" t="s">
        <v>925</v>
      </c>
      <c r="C497" s="21" t="s">
        <v>934</v>
      </c>
      <c r="D497" s="21" t="s">
        <v>935</v>
      </c>
      <c r="E497" s="22" t="str">
        <f>CONCATENATE(B497,C497,"_",D497)</f>
        <v>s34q302_is_meds_supps_after_vacc</v>
      </c>
      <c r="F497" s="21" t="s">
        <v>2712</v>
      </c>
      <c r="G497" s="21" t="str">
        <f t="shared" si="58"/>
        <v xml:space="preserve">S34Q302: Ông/bà có sử dụng kháng sinh/thuốc hay các chất bổ trợ cho gà sau khi tiêm vắc-xin không? </v>
      </c>
      <c r="H497" s="21"/>
      <c r="I497" s="21"/>
      <c r="J497" s="21"/>
      <c r="K497" s="21" t="s">
        <v>40</v>
      </c>
      <c r="L497" s="21" t="s">
        <v>50</v>
      </c>
      <c r="M497" s="21" t="str">
        <f>CONCATENATE("selected(${",E480,"},'yes')")</f>
        <v>selected(${s32q293_is_vacc_last_cycle},'yes')</v>
      </c>
      <c r="N497" s="21"/>
      <c r="O497" s="21"/>
      <c r="P497" s="21"/>
      <c r="Q497" s="21"/>
      <c r="R497" s="21"/>
      <c r="S497" s="21"/>
    </row>
    <row r="498" spans="1:19" ht="12.75" thickBot="1" x14ac:dyDescent="0.25">
      <c r="A498" s="21" t="s">
        <v>936</v>
      </c>
      <c r="B498" s="21" t="s">
        <v>925</v>
      </c>
      <c r="C498" s="21" t="s">
        <v>937</v>
      </c>
      <c r="D498" s="21" t="s">
        <v>938</v>
      </c>
      <c r="E498" s="22" t="str">
        <f t="shared" ref="E498:E511" si="59">CONCATENATE(B498,C498,"_",D498)</f>
        <v>s34q303_which_meds_supps</v>
      </c>
      <c r="F498" s="21" t="s">
        <v>2713</v>
      </c>
      <c r="G498" s="21" t="str">
        <f t="shared" si="58"/>
        <v>S34Q303: Nếu có, ông/bà sử dụng/bổ sung gì cho gà?</v>
      </c>
      <c r="H498" s="21" t="s">
        <v>939</v>
      </c>
      <c r="I498" s="21"/>
      <c r="J498" s="21"/>
      <c r="K498" s="21" t="s">
        <v>40</v>
      </c>
      <c r="L498" s="21"/>
      <c r="M498" s="21" t="str">
        <f>CONCATENATE("selected(${",E497,"},'yes')")</f>
        <v>selected(${s34q302_is_meds_supps_after_vacc},'yes')</v>
      </c>
      <c r="N498" s="21"/>
      <c r="O498" s="21"/>
      <c r="P498" s="21"/>
      <c r="Q498" s="21"/>
      <c r="R498" s="21"/>
      <c r="S498" s="21"/>
    </row>
    <row r="499" spans="1:19" x14ac:dyDescent="0.2">
      <c r="A499" s="67" t="s">
        <v>619</v>
      </c>
      <c r="B499" s="68" t="s">
        <v>925</v>
      </c>
      <c r="C499" s="68" t="s">
        <v>940</v>
      </c>
      <c r="D499" s="68" t="s">
        <v>750</v>
      </c>
      <c r="E499" s="69" t="str">
        <f t="shared" si="59"/>
        <v>s34q304_antibiotics</v>
      </c>
      <c r="F499" s="68" t="s">
        <v>2714</v>
      </c>
      <c r="G499" s="68" t="str">
        <f t="shared" si="58"/>
        <v xml:space="preserve">S34Q304: Ông/bà đã sử dụng loại chất/thuốc bổ sung nào? </v>
      </c>
      <c r="H499" s="68"/>
      <c r="I499" s="68"/>
      <c r="J499" s="68"/>
      <c r="K499" s="68" t="s">
        <v>40</v>
      </c>
      <c r="L499" s="68" t="s">
        <v>624</v>
      </c>
      <c r="M499" s="68" t="str">
        <f>CONCATENATE("selected(${",E498,"},'antibiotic')")</f>
        <v>selected(${s34q303_which_meds_supps},'antibiotic')</v>
      </c>
      <c r="N499" s="68"/>
      <c r="O499" s="68"/>
      <c r="P499" s="68"/>
      <c r="Q499" s="68"/>
      <c r="R499" s="68"/>
      <c r="S499" s="70"/>
    </row>
    <row r="500" spans="1:19" x14ac:dyDescent="0.2">
      <c r="A500" s="71" t="s">
        <v>123</v>
      </c>
      <c r="B500" s="72" t="s">
        <v>925</v>
      </c>
      <c r="C500" s="72" t="s">
        <v>43</v>
      </c>
      <c r="D500" s="72" t="s">
        <v>941</v>
      </c>
      <c r="E500" s="73" t="str">
        <f t="shared" si="59"/>
        <v>s34_rpt_abs_after_vacc</v>
      </c>
      <c r="F500" s="72" t="s">
        <v>2715</v>
      </c>
      <c r="G500" s="72" t="str">
        <f t="shared" si="58"/>
        <v>S34: Thuốc</v>
      </c>
      <c r="H500" s="72"/>
      <c r="I500" s="72"/>
      <c r="J500" s="72"/>
      <c r="K500" s="72"/>
      <c r="L500" s="72"/>
      <c r="M500" s="72" t="str">
        <f>CONCATENATE("selected(${",E498,"},'antibiotic')")</f>
        <v>selected(${s34q303_which_meds_supps},'antibiotic')</v>
      </c>
      <c r="N500" s="72"/>
      <c r="O500" s="74" t="str">
        <f>CONCATENATE("count-selected(${",E499,"})")</f>
        <v>count-selected(${s34q304_antibiotics})</v>
      </c>
      <c r="P500" s="72"/>
      <c r="Q500" s="72"/>
      <c r="R500" s="72"/>
      <c r="S500" s="75"/>
    </row>
    <row r="501" spans="1:19" x14ac:dyDescent="0.2">
      <c r="A501" s="71" t="s">
        <v>127</v>
      </c>
      <c r="B501" s="72" t="s">
        <v>925</v>
      </c>
      <c r="C501" s="72" t="s">
        <v>128</v>
      </c>
      <c r="D501" s="72" t="s">
        <v>942</v>
      </c>
      <c r="E501" s="73" t="str">
        <f t="shared" si="59"/>
        <v>s34c1_cur_ab_after_vacc</v>
      </c>
      <c r="F501" s="72"/>
      <c r="G501" s="72"/>
      <c r="H501" s="72"/>
      <c r="I501" s="72"/>
      <c r="J501" s="72"/>
      <c r="K501" s="72"/>
      <c r="L501" s="72"/>
      <c r="M501" s="72"/>
      <c r="N501" s="72"/>
      <c r="O501" s="72"/>
      <c r="P501" s="76" t="str">
        <f>CONCATENATE("selected-at(${",E499,"}, position(..)-1)")</f>
        <v>selected-at(${s34q304_antibiotics}, position(..)-1)</v>
      </c>
      <c r="Q501" s="72"/>
      <c r="R501" s="72"/>
      <c r="S501" s="75"/>
    </row>
    <row r="502" spans="1:19" x14ac:dyDescent="0.2">
      <c r="A502" s="71" t="s">
        <v>127</v>
      </c>
      <c r="B502" s="72" t="s">
        <v>925</v>
      </c>
      <c r="C502" s="72" t="s">
        <v>130</v>
      </c>
      <c r="D502" s="72" t="s">
        <v>943</v>
      </c>
      <c r="E502" s="73" t="str">
        <f t="shared" si="59"/>
        <v>s34c2_cur_ab_name_after_vacc</v>
      </c>
      <c r="F502" s="72"/>
      <c r="G502" s="72"/>
      <c r="H502" s="72"/>
      <c r="I502" s="72"/>
      <c r="J502" s="72"/>
      <c r="K502" s="72"/>
      <c r="L502" s="72"/>
      <c r="M502" s="72"/>
      <c r="N502" s="72"/>
      <c r="O502" s="72"/>
      <c r="P502" s="76" t="str">
        <f>CONCATENATE("if(string-length(../",E501,") != 0,jr:choice-name(${",E501,"},'${",E499,"}'),'unknown')")</f>
        <v>if(string-length(../s34c1_cur_ab_after_vacc) != 0,jr:choice-name(${s34c1_cur_ab_after_vacc},'${s34q304_antibiotics}'),'unknown')</v>
      </c>
      <c r="Q502" s="72"/>
      <c r="R502" s="72"/>
      <c r="S502" s="75"/>
    </row>
    <row r="503" spans="1:19" x14ac:dyDescent="0.2">
      <c r="A503" s="71" t="s">
        <v>41</v>
      </c>
      <c r="B503" s="72" t="s">
        <v>925</v>
      </c>
      <c r="C503" s="72" t="s">
        <v>43</v>
      </c>
      <c r="D503" s="72" t="s">
        <v>944</v>
      </c>
      <c r="E503" s="73" t="str">
        <f t="shared" si="59"/>
        <v>s34_grp_abs_after_vacc</v>
      </c>
      <c r="F503" s="72" t="s">
        <v>2761</v>
      </c>
      <c r="G503" s="72" t="str">
        <f t="shared" ref="G503:G511" si="60">CONCATENATE(UPPER(B503),UPPER(C503),": ",F503)</f>
        <v>S34: Thông tin chi tiết chất/thuốc bổ sung</v>
      </c>
      <c r="H503" s="72"/>
      <c r="I503" s="72"/>
      <c r="J503" s="72"/>
      <c r="K503" s="72"/>
      <c r="L503" s="72"/>
      <c r="M503" s="72"/>
      <c r="N503" s="72"/>
      <c r="O503" s="74"/>
      <c r="P503" s="72"/>
      <c r="Q503" s="72"/>
      <c r="R503" s="72"/>
      <c r="S503" s="75"/>
    </row>
    <row r="504" spans="1:19" x14ac:dyDescent="0.2">
      <c r="A504" s="72" t="s">
        <v>628</v>
      </c>
      <c r="B504" s="72" t="s">
        <v>925</v>
      </c>
      <c r="C504" s="72" t="s">
        <v>945</v>
      </c>
      <c r="D504" s="72" t="s">
        <v>630</v>
      </c>
      <c r="E504" s="73" t="str">
        <f t="shared" si="59"/>
        <v>s34q305_how_ab_combined</v>
      </c>
      <c r="F504" s="72" t="str">
        <f>CONCATENATE("Loại &lt;span style='color:blue;'&gt;${",E502,"}&lt;/span&gt; là ở dạng đơn hay ở dạng hỗn hợp với các loại kháng sinh khác?")</f>
        <v>Loại &lt;span style='color:blue;'&gt;${s34c2_cur_ab_name_after_vacc}&lt;/span&gt; là ở dạng đơn hay ở dạng hỗn hợp với các loại kháng sinh khác?</v>
      </c>
      <c r="G504" s="72" t="str">
        <f t="shared" si="60"/>
        <v>S34Q305: Loại &lt;span style='color:blue;'&gt;${s34c2_cur_ab_name_after_vacc}&lt;/span&gt; là ở dạng đơn hay ở dạng hỗn hợp với các loại kháng sinh khác?</v>
      </c>
      <c r="H504" s="72"/>
      <c r="I504" s="72"/>
      <c r="J504" s="72"/>
      <c r="K504" s="72" t="s">
        <v>40</v>
      </c>
      <c r="L504" s="72" t="s">
        <v>50</v>
      </c>
      <c r="M504" s="72"/>
      <c r="N504" s="72"/>
      <c r="O504" s="72"/>
      <c r="P504" s="72"/>
      <c r="Q504" s="72"/>
      <c r="R504" s="72"/>
      <c r="S504" s="72"/>
    </row>
    <row r="505" spans="1:19" x14ac:dyDescent="0.2">
      <c r="A505" s="72" t="s">
        <v>619</v>
      </c>
      <c r="B505" s="72" t="s">
        <v>925</v>
      </c>
      <c r="C505" s="72" t="s">
        <v>946</v>
      </c>
      <c r="D505" s="72" t="s">
        <v>632</v>
      </c>
      <c r="E505" s="73" t="str">
        <f t="shared" si="59"/>
        <v>s34q306_ab_combined</v>
      </c>
      <c r="F505" s="72" t="str">
        <f>CONCATENATE("Chọn loại kháng sinh phối/hỗn hợp cùng với &lt;span style='color:blue;'&gt;${",E502,"}&lt;/span&gt;?")</f>
        <v>Chọn loại kháng sinh phối/hỗn hợp cùng với &lt;span style='color:blue;'&gt;${s34c2_cur_ab_name_after_vacc}&lt;/span&gt;?</v>
      </c>
      <c r="G505" s="72" t="str">
        <f t="shared" si="60"/>
        <v>S34Q306: Chọn loại kháng sinh phối/hỗn hợp cùng với &lt;span style='color:blue;'&gt;${s34c2_cur_ab_name_after_vacc}&lt;/span&gt;?</v>
      </c>
      <c r="H505" s="72"/>
      <c r="I505" s="72"/>
      <c r="J505" s="72"/>
      <c r="K505" s="72" t="s">
        <v>40</v>
      </c>
      <c r="L505" s="72"/>
      <c r="M505" s="72" t="str">
        <f>CONCATENATE("selected(${",E504,"},'combined')")</f>
        <v>selected(${s34q305_how_ab_combined},'combined')</v>
      </c>
      <c r="N505" s="72"/>
      <c r="O505" s="72"/>
      <c r="P505" s="72"/>
      <c r="Q505" s="72"/>
      <c r="R505" s="72"/>
      <c r="S505" s="72"/>
    </row>
    <row r="506" spans="1:19" x14ac:dyDescent="0.2">
      <c r="A506" s="71" t="s">
        <v>633</v>
      </c>
      <c r="B506" s="72" t="s">
        <v>925</v>
      </c>
      <c r="C506" s="72" t="s">
        <v>947</v>
      </c>
      <c r="D506" s="72" t="s">
        <v>635</v>
      </c>
      <c r="E506" s="73" t="str">
        <f t="shared" si="59"/>
        <v>s34q307_purpose</v>
      </c>
      <c r="F506" s="72" t="str">
        <f>CONCATENATE("Ông/bà dùng &lt;span style='color:blue;'&gt;${",E502,"}&lt;/span&gt; cho mục đích gì?")</f>
        <v>Ông/bà dùng &lt;span style='color:blue;'&gt;${s34c2_cur_ab_name_after_vacc}&lt;/span&gt; cho mục đích gì?</v>
      </c>
      <c r="G506" s="72" t="str">
        <f t="shared" si="60"/>
        <v>S34Q307: Ông/bà dùng &lt;span style='color:blue;'&gt;${s34c2_cur_ab_name_after_vacc}&lt;/span&gt; cho mục đích gì?</v>
      </c>
      <c r="H506" s="72"/>
      <c r="I506" s="72"/>
      <c r="J506" s="72"/>
      <c r="K506" s="72" t="s">
        <v>40</v>
      </c>
      <c r="L506" s="72"/>
      <c r="M506" s="72"/>
      <c r="N506" s="72"/>
      <c r="O506" s="72"/>
      <c r="P506" s="72"/>
      <c r="Q506" s="72"/>
      <c r="R506" s="72"/>
      <c r="S506" s="75"/>
    </row>
    <row r="507" spans="1:19" x14ac:dyDescent="0.2">
      <c r="A507" s="71" t="s">
        <v>636</v>
      </c>
      <c r="B507" s="72" t="s">
        <v>925</v>
      </c>
      <c r="C507" s="72" t="s">
        <v>948</v>
      </c>
      <c r="D507" s="72" t="s">
        <v>638</v>
      </c>
      <c r="E507" s="73" t="str">
        <f t="shared" si="59"/>
        <v>s34q308_use_reason</v>
      </c>
      <c r="F507" s="72" t="str">
        <f>CONCATENATE("Vì sao ông/bà quyết định sử dụng &lt;span style='color:blue;'&gt;${",E502,"}&lt;/span&gt;?")</f>
        <v>Vì sao ông/bà quyết định sử dụng &lt;span style='color:blue;'&gt;${s34c2_cur_ab_name_after_vacc}&lt;/span&gt;?</v>
      </c>
      <c r="G507" s="72" t="str">
        <f t="shared" si="60"/>
        <v>S34Q308: Vì sao ông/bà quyết định sử dụng &lt;span style='color:blue;'&gt;${s34c2_cur_ab_name_after_vacc}&lt;/span&gt;?</v>
      </c>
      <c r="H507" s="72"/>
      <c r="I507" s="72"/>
      <c r="J507" s="72"/>
      <c r="K507" s="72" t="s">
        <v>40</v>
      </c>
      <c r="L507" s="72"/>
      <c r="M507" s="72"/>
      <c r="N507" s="72"/>
      <c r="O507" s="72"/>
      <c r="P507" s="72"/>
      <c r="Q507" s="72"/>
      <c r="R507" s="72"/>
      <c r="S507" s="75"/>
    </row>
    <row r="508" spans="1:19" x14ac:dyDescent="0.2">
      <c r="A508" s="71" t="s">
        <v>639</v>
      </c>
      <c r="B508" s="72" t="s">
        <v>925</v>
      </c>
      <c r="C508" s="72" t="s">
        <v>949</v>
      </c>
      <c r="D508" s="72" t="s">
        <v>641</v>
      </c>
      <c r="E508" s="73" t="str">
        <f t="shared" si="59"/>
        <v>s34q309_source</v>
      </c>
      <c r="F508" s="72" t="str">
        <f>CONCATENATE("Ông/bà mua &lt;span style='color:blue;'&gt;${",E502,"}&lt;/span&gt; ở đâu?")</f>
        <v>Ông/bà mua &lt;span style='color:blue;'&gt;${s34c2_cur_ab_name_after_vacc}&lt;/span&gt; ở đâu?</v>
      </c>
      <c r="G508" s="72" t="str">
        <f t="shared" si="60"/>
        <v>S34Q309: Ông/bà mua &lt;span style='color:blue;'&gt;${s34c2_cur_ab_name_after_vacc}&lt;/span&gt; ở đâu?</v>
      </c>
      <c r="H508" s="72"/>
      <c r="I508" s="72"/>
      <c r="J508" s="72"/>
      <c r="K508" s="72" t="s">
        <v>40</v>
      </c>
      <c r="L508" s="72"/>
      <c r="M508" s="72"/>
      <c r="N508" s="72"/>
      <c r="O508" s="72"/>
      <c r="P508" s="72"/>
      <c r="Q508" s="72"/>
      <c r="R508" s="72"/>
      <c r="S508" s="75"/>
    </row>
    <row r="509" spans="1:19" x14ac:dyDescent="0.2">
      <c r="A509" s="71" t="s">
        <v>645</v>
      </c>
      <c r="B509" s="72" t="s">
        <v>925</v>
      </c>
      <c r="C509" s="72" t="s">
        <v>950</v>
      </c>
      <c r="D509" s="72" t="s">
        <v>647</v>
      </c>
      <c r="E509" s="73" t="str">
        <f t="shared" si="59"/>
        <v>s34q310_who_admin</v>
      </c>
      <c r="F509" s="72" t="str">
        <f>CONCATENATE("Ai là người dùng/trộn/tiêm &lt;span style='color:blue;'&gt;${",E502,"}&lt;/span&gt; cho đàn gà?")</f>
        <v>Ai là người dùng/trộn/tiêm &lt;span style='color:blue;'&gt;${s34c2_cur_ab_name_after_vacc}&lt;/span&gt; cho đàn gà?</v>
      </c>
      <c r="G509" s="72" t="str">
        <f t="shared" si="60"/>
        <v>S34Q310: Ai là người dùng/trộn/tiêm &lt;span style='color:blue;'&gt;${s34c2_cur_ab_name_after_vacc}&lt;/span&gt; cho đàn gà?</v>
      </c>
      <c r="H509" s="72"/>
      <c r="I509" s="72"/>
      <c r="J509" s="72"/>
      <c r="K509" s="72" t="s">
        <v>40</v>
      </c>
      <c r="L509" s="72"/>
      <c r="M509" s="72"/>
      <c r="N509" s="72"/>
      <c r="O509" s="72"/>
      <c r="P509" s="72"/>
      <c r="Q509" s="72"/>
      <c r="R509" s="72"/>
      <c r="S509" s="75"/>
    </row>
    <row r="510" spans="1:19" x14ac:dyDescent="0.2">
      <c r="A510" s="71" t="s">
        <v>648</v>
      </c>
      <c r="B510" s="72" t="s">
        <v>925</v>
      </c>
      <c r="C510" s="72" t="s">
        <v>951</v>
      </c>
      <c r="D510" s="72" t="s">
        <v>650</v>
      </c>
      <c r="E510" s="73" t="str">
        <f t="shared" si="59"/>
        <v>s34q311_how_knowhow</v>
      </c>
      <c r="F510" s="72" t="str">
        <f>CONCATENATE("Làm thế nào ông/bà hay họ biết cách sử dụng &lt;span style='color:blue;'&gt;${",E502,"}&lt;/span&gt;?")</f>
        <v>Làm thế nào ông/bà hay họ biết cách sử dụng &lt;span style='color:blue;'&gt;${s34c2_cur_ab_name_after_vacc}&lt;/span&gt;?</v>
      </c>
      <c r="G510" s="72" t="str">
        <f t="shared" si="60"/>
        <v>S34Q311: Làm thế nào ông/bà hay họ biết cách sử dụng &lt;span style='color:blue;'&gt;${s34c2_cur_ab_name_after_vacc}&lt;/span&gt;?</v>
      </c>
      <c r="H510" s="72"/>
      <c r="I510" s="72"/>
      <c r="J510" s="72"/>
      <c r="K510" s="72" t="s">
        <v>40</v>
      </c>
      <c r="L510" s="72"/>
      <c r="M510" s="72" t="str">
        <f>CONCATENATE("selected(${",E509,"},'myself') or selected(${",E509,"},'farm_worker') or selected(${",E509,"},'friends')")</f>
        <v>selected(${s34q310_who_admin},'myself') or selected(${s34q310_who_admin},'farm_worker') or selected(${s34q310_who_admin},'friends')</v>
      </c>
      <c r="N510" s="72"/>
      <c r="O510" s="72"/>
      <c r="P510" s="72"/>
      <c r="Q510" s="72"/>
      <c r="R510" s="72"/>
      <c r="S510" s="75"/>
    </row>
    <row r="511" spans="1:19" x14ac:dyDescent="0.2">
      <c r="A511" s="71" t="s">
        <v>88</v>
      </c>
      <c r="B511" s="72" t="s">
        <v>925</v>
      </c>
      <c r="C511" s="72" t="s">
        <v>952</v>
      </c>
      <c r="D511" s="72" t="s">
        <v>598</v>
      </c>
      <c r="E511" s="73" t="str">
        <f t="shared" si="59"/>
        <v>s34q312_cost</v>
      </c>
      <c r="F511" s="72" t="str">
        <f>CONCATENATE("Tổng chi phí cho các kháng sinh &lt;span style='color:blue;'&gt;${",E502,"}&lt;/span&gt; trong lần dùng đó là khoảng bao nhiêu? (Lưu ý: tính bằng nghìn VNĐ)?")</f>
        <v>Tổng chi phí cho các kháng sinh &lt;span style='color:blue;'&gt;${s34c2_cur_ab_name_after_vacc}&lt;/span&gt; trong lần dùng đó là khoảng bao nhiêu? (Lưu ý: tính bằng nghìn VNĐ)?</v>
      </c>
      <c r="G511" s="72" t="str">
        <f t="shared" si="60"/>
        <v>S34Q312: Tổng chi phí cho các kháng sinh &lt;span style='color:blue;'&gt;${s34c2_cur_ab_name_after_vacc}&lt;/span&gt; trong lần dùng đó là khoảng bao nhiêu? (Lưu ý: tính bằng nghìn VNĐ)?</v>
      </c>
      <c r="H511" s="72" t="s">
        <v>2617</v>
      </c>
      <c r="I511" s="72" t="s">
        <v>106</v>
      </c>
      <c r="J511" s="72"/>
      <c r="K511" s="72" t="s">
        <v>40</v>
      </c>
      <c r="L511" s="72"/>
      <c r="M511" s="72"/>
      <c r="N511" s="72"/>
      <c r="O511" s="72"/>
      <c r="P511" s="72"/>
      <c r="Q511" s="72"/>
      <c r="R511" s="72"/>
      <c r="S511" s="75"/>
    </row>
    <row r="512" spans="1:19" x14ac:dyDescent="0.2">
      <c r="A512" s="62" t="s">
        <v>74</v>
      </c>
      <c r="C512" s="4" t="s">
        <v>43</v>
      </c>
      <c r="S512" s="63"/>
    </row>
    <row r="513" spans="1:19" ht="12.75" thickBot="1" x14ac:dyDescent="0.25">
      <c r="A513" s="64" t="s">
        <v>147</v>
      </c>
      <c r="B513" s="65"/>
      <c r="C513" s="65" t="s">
        <v>43</v>
      </c>
      <c r="D513" s="65"/>
      <c r="E513" s="65"/>
      <c r="F513" s="65"/>
      <c r="G513" s="65"/>
      <c r="H513" s="65"/>
      <c r="I513" s="65"/>
      <c r="J513" s="65"/>
      <c r="K513" s="65"/>
      <c r="L513" s="65"/>
      <c r="M513" s="65"/>
      <c r="N513" s="65"/>
      <c r="O513" s="65"/>
      <c r="P513" s="65"/>
      <c r="Q513" s="65"/>
      <c r="R513" s="65"/>
      <c r="S513" s="66"/>
    </row>
    <row r="514" spans="1:19" x14ac:dyDescent="0.2">
      <c r="A514" s="52" t="s">
        <v>662</v>
      </c>
      <c r="B514" s="53" t="s">
        <v>925</v>
      </c>
      <c r="C514" s="53" t="s">
        <v>953</v>
      </c>
      <c r="D514" s="53" t="s">
        <v>664</v>
      </c>
      <c r="E514" s="54" t="str">
        <f t="shared" ref="E514:E525" si="61">CONCATENATE(B514,C514,"_",D514)</f>
        <v>s34q313_vitamins</v>
      </c>
      <c r="F514" s="53" t="s">
        <v>2723</v>
      </c>
      <c r="G514" s="53" t="str">
        <f>CONCATENATE(UPPER(B514),UPPER(C514),": ",F514)</f>
        <v>S34Q313: Ông/bà có bổ sung loại vitamin nào không?</v>
      </c>
      <c r="H514" s="53"/>
      <c r="I514" s="53"/>
      <c r="J514" s="53"/>
      <c r="K514" s="53" t="s">
        <v>40</v>
      </c>
      <c r="L514" s="53" t="s">
        <v>624</v>
      </c>
      <c r="M514" s="53" t="str">
        <f>CONCATENATE("selected(${",E498,"},'vitamins')")</f>
        <v>selected(${s34q303_which_meds_supps},'vitamins')</v>
      </c>
      <c r="N514" s="53"/>
      <c r="O514" s="53"/>
      <c r="P514" s="53"/>
      <c r="Q514" s="53"/>
      <c r="R514" s="53"/>
      <c r="S514" s="55"/>
    </row>
    <row r="515" spans="1:19" x14ac:dyDescent="0.2">
      <c r="A515" s="56" t="s">
        <v>123</v>
      </c>
      <c r="B515" s="57" t="s">
        <v>925</v>
      </c>
      <c r="C515" s="57" t="s">
        <v>43</v>
      </c>
      <c r="D515" s="57" t="s">
        <v>954</v>
      </c>
      <c r="E515" s="58" t="str">
        <f t="shared" si="61"/>
        <v>s34_rpt_vitamins_after_vacc</v>
      </c>
      <c r="F515" s="57" t="s">
        <v>697</v>
      </c>
      <c r="G515" s="57" t="str">
        <f>CONCATENATE(UPPER(B515),UPPER(C515),": ",F515)</f>
        <v>S34: Medicines</v>
      </c>
      <c r="H515" s="57"/>
      <c r="I515" s="57"/>
      <c r="J515" s="57"/>
      <c r="K515" s="57"/>
      <c r="L515" s="57"/>
      <c r="M515" s="57" t="str">
        <f>CONCATENATE("selected(${",E498,"},'vitamins')")</f>
        <v>selected(${s34q303_which_meds_supps},'vitamins')</v>
      </c>
      <c r="N515" s="57"/>
      <c r="O515" s="59" t="str">
        <f>CONCATENATE("count-selected(${",E514,"})")</f>
        <v>count-selected(${s34q313_vitamins})</v>
      </c>
      <c r="P515" s="57"/>
      <c r="Q515" s="57"/>
      <c r="R515" s="57"/>
      <c r="S515" s="60"/>
    </row>
    <row r="516" spans="1:19" x14ac:dyDescent="0.2">
      <c r="A516" s="56" t="s">
        <v>127</v>
      </c>
      <c r="B516" s="57" t="s">
        <v>925</v>
      </c>
      <c r="C516" s="57" t="s">
        <v>128</v>
      </c>
      <c r="D516" s="57" t="s">
        <v>955</v>
      </c>
      <c r="E516" s="58" t="str">
        <f t="shared" si="61"/>
        <v>s34c1_cur_vitamin_after_vacc</v>
      </c>
      <c r="F516" s="57"/>
      <c r="G516" s="57"/>
      <c r="H516" s="57"/>
      <c r="I516" s="57"/>
      <c r="J516" s="57"/>
      <c r="K516" s="57"/>
      <c r="L516" s="57"/>
      <c r="M516" s="57"/>
      <c r="N516" s="57"/>
      <c r="O516" s="57"/>
      <c r="P516" s="61" t="str">
        <f>CONCATENATE("selected-at(${",E514,"}, position(..)-1)")</f>
        <v>selected-at(${s34q313_vitamins}, position(..)-1)</v>
      </c>
      <c r="Q516" s="57"/>
      <c r="R516" s="57"/>
      <c r="S516" s="60"/>
    </row>
    <row r="517" spans="1:19" x14ac:dyDescent="0.2">
      <c r="A517" s="56" t="s">
        <v>127</v>
      </c>
      <c r="B517" s="57" t="s">
        <v>925</v>
      </c>
      <c r="C517" s="57" t="s">
        <v>130</v>
      </c>
      <c r="D517" s="57" t="s">
        <v>956</v>
      </c>
      <c r="E517" s="58" t="str">
        <f t="shared" si="61"/>
        <v>s34c2_cur_vitamin_name_after_vacc</v>
      </c>
      <c r="F517" s="57"/>
      <c r="G517" s="57"/>
      <c r="H517" s="57"/>
      <c r="I517" s="57"/>
      <c r="J517" s="57"/>
      <c r="K517" s="57"/>
      <c r="L517" s="57"/>
      <c r="M517" s="57"/>
      <c r="N517" s="57"/>
      <c r="O517" s="57"/>
      <c r="P517" s="61" t="str">
        <f>CONCATENATE("if(string-length(../",E516,") != 0,jr:choice-name(${",E516,"},'${",E514,"}'),'unknown')")</f>
        <v>if(string-length(../s34c1_cur_vitamin_after_vacc) != 0,jr:choice-name(${s34c1_cur_vitamin_after_vacc},'${s34q313_vitamins}'),'unknown')</v>
      </c>
      <c r="Q517" s="57"/>
      <c r="R517" s="57"/>
      <c r="S517" s="60"/>
    </row>
    <row r="518" spans="1:19" x14ac:dyDescent="0.2">
      <c r="A518" s="56" t="s">
        <v>41</v>
      </c>
      <c r="B518" s="57" t="s">
        <v>925</v>
      </c>
      <c r="C518" s="57" t="s">
        <v>43</v>
      </c>
      <c r="D518" s="57" t="s">
        <v>957</v>
      </c>
      <c r="E518" s="58" t="str">
        <f t="shared" si="61"/>
        <v>s34_grp_vitamin_after_vacc</v>
      </c>
      <c r="F518" s="58" t="s">
        <v>2724</v>
      </c>
      <c r="G518" s="57" t="str">
        <f t="shared" ref="G518:G525" si="62">CONCATENATE(UPPER(B518),UPPER(C518),": ",F518)</f>
        <v>S34: Chi tiết các loại vitamin</v>
      </c>
      <c r="H518" s="57"/>
      <c r="I518" s="57"/>
      <c r="J518" s="57"/>
      <c r="K518" s="57"/>
      <c r="L518" s="57"/>
      <c r="M518" s="57"/>
      <c r="N518" s="57"/>
      <c r="O518" s="59"/>
      <c r="P518" s="57"/>
      <c r="Q518" s="57"/>
      <c r="R518" s="57"/>
      <c r="S518" s="60"/>
    </row>
    <row r="519" spans="1:19" x14ac:dyDescent="0.2">
      <c r="A519" s="56" t="s">
        <v>633</v>
      </c>
      <c r="B519" s="57" t="s">
        <v>925</v>
      </c>
      <c r="C519" s="57" t="s">
        <v>958</v>
      </c>
      <c r="D519" s="57" t="s">
        <v>635</v>
      </c>
      <c r="E519" s="58" t="str">
        <f t="shared" si="61"/>
        <v>s34q314_purpose</v>
      </c>
      <c r="F519" s="58" t="str">
        <f>CONCATENATE("Ông/bà dùng &lt;span style='color:blue;'&gt;${",E517,"}&lt;/span&gt; cho mục đích gì?")</f>
        <v>Ông/bà dùng &lt;span style='color:blue;'&gt;${s34c2_cur_vitamin_name_after_vacc}&lt;/span&gt; cho mục đích gì?</v>
      </c>
      <c r="G519" s="57" t="str">
        <f t="shared" si="62"/>
        <v>S34Q314: Ông/bà dùng &lt;span style='color:blue;'&gt;${s34c2_cur_vitamin_name_after_vacc}&lt;/span&gt; cho mục đích gì?</v>
      </c>
      <c r="H519" s="57"/>
      <c r="I519" s="57"/>
      <c r="J519" s="57"/>
      <c r="K519" s="57" t="s">
        <v>40</v>
      </c>
      <c r="L519" s="57"/>
      <c r="M519" s="57"/>
      <c r="N519" s="57"/>
      <c r="O519" s="57"/>
      <c r="P519" s="57"/>
      <c r="Q519" s="57"/>
      <c r="R519" s="57"/>
      <c r="S519" s="60"/>
    </row>
    <row r="520" spans="1:19" x14ac:dyDescent="0.2">
      <c r="A520" s="56" t="s">
        <v>636</v>
      </c>
      <c r="B520" s="57" t="s">
        <v>925</v>
      </c>
      <c r="C520" s="57" t="s">
        <v>959</v>
      </c>
      <c r="D520" s="57" t="s">
        <v>638</v>
      </c>
      <c r="E520" s="58" t="str">
        <f t="shared" si="61"/>
        <v>s34q315_use_reason</v>
      </c>
      <c r="F520" s="58" t="str">
        <f>CONCATENATE("Vì sao ông/bà quyết định sử dụng loại &lt;span style='color:blue;'&gt;${",E517,"}&lt;/span&gt;?")</f>
        <v>Vì sao ông/bà quyết định sử dụng loại &lt;span style='color:blue;'&gt;${s34c2_cur_vitamin_name_after_vacc}&lt;/span&gt;?</v>
      </c>
      <c r="G520" s="57" t="str">
        <f t="shared" si="62"/>
        <v>S34Q315: Vì sao ông/bà quyết định sử dụng loại &lt;span style='color:blue;'&gt;${s34c2_cur_vitamin_name_after_vacc}&lt;/span&gt;?</v>
      </c>
      <c r="H520" s="57"/>
      <c r="I520" s="57"/>
      <c r="J520" s="57"/>
      <c r="K520" s="57" t="s">
        <v>40</v>
      </c>
      <c r="L520" s="57"/>
      <c r="M520" s="57"/>
      <c r="N520" s="57"/>
      <c r="O520" s="57"/>
      <c r="P520" s="57"/>
      <c r="Q520" s="57"/>
      <c r="R520" s="57"/>
      <c r="S520" s="60"/>
    </row>
    <row r="521" spans="1:19" x14ac:dyDescent="0.2">
      <c r="A521" s="56" t="s">
        <v>639</v>
      </c>
      <c r="B521" s="57" t="s">
        <v>925</v>
      </c>
      <c r="C521" s="57" t="s">
        <v>960</v>
      </c>
      <c r="D521" s="57" t="s">
        <v>641</v>
      </c>
      <c r="E521" s="58" t="str">
        <f t="shared" si="61"/>
        <v>s34q316_source</v>
      </c>
      <c r="F521" s="58" t="str">
        <f>CONCATENATE("Ông/bà mua &lt;span style='color:blue;'&gt;${",E517,"}&lt;/span&gt; đó ở đâu?")</f>
        <v>Ông/bà mua &lt;span style='color:blue;'&gt;${s34c2_cur_vitamin_name_after_vacc}&lt;/span&gt; đó ở đâu?</v>
      </c>
      <c r="G521" s="57" t="str">
        <f t="shared" si="62"/>
        <v>S34Q316: Ông/bà mua &lt;span style='color:blue;'&gt;${s34c2_cur_vitamin_name_after_vacc}&lt;/span&gt; đó ở đâu?</v>
      </c>
      <c r="H521" s="57"/>
      <c r="I521" s="57"/>
      <c r="J521" s="57"/>
      <c r="K521" s="57" t="s">
        <v>40</v>
      </c>
      <c r="L521" s="57"/>
      <c r="M521" s="57"/>
      <c r="N521" s="57"/>
      <c r="O521" s="57"/>
      <c r="P521" s="57"/>
      <c r="Q521" s="57"/>
      <c r="R521" s="57"/>
      <c r="S521" s="60"/>
    </row>
    <row r="522" spans="1:19" x14ac:dyDescent="0.2">
      <c r="A522" s="56" t="s">
        <v>645</v>
      </c>
      <c r="B522" s="57" t="s">
        <v>925</v>
      </c>
      <c r="C522" s="57" t="s">
        <v>961</v>
      </c>
      <c r="D522" s="57" t="s">
        <v>647</v>
      </c>
      <c r="E522" s="58" t="str">
        <f t="shared" si="61"/>
        <v>s34q317_who_admin</v>
      </c>
      <c r="F522" s="58" t="str">
        <f>CONCATENATE("Ai là người dùng/trộn/tiêm &lt;span style='color:blue;'&gt;${",E517,"}&lt;/span&gt; cho đàn gà?")</f>
        <v>Ai là người dùng/trộn/tiêm &lt;span style='color:blue;'&gt;${s34c2_cur_vitamin_name_after_vacc}&lt;/span&gt; cho đàn gà?</v>
      </c>
      <c r="G522" s="57" t="str">
        <f t="shared" si="62"/>
        <v>S34Q317: Ai là người dùng/trộn/tiêm &lt;span style='color:blue;'&gt;${s34c2_cur_vitamin_name_after_vacc}&lt;/span&gt; cho đàn gà?</v>
      </c>
      <c r="H522" s="57"/>
      <c r="I522" s="57"/>
      <c r="J522" s="57"/>
      <c r="K522" s="57" t="s">
        <v>40</v>
      </c>
      <c r="L522" s="57"/>
      <c r="M522" s="57"/>
      <c r="N522" s="57"/>
      <c r="O522" s="57"/>
      <c r="P522" s="57"/>
      <c r="Q522" s="57"/>
      <c r="R522" s="57"/>
      <c r="S522" s="60"/>
    </row>
    <row r="523" spans="1:19" x14ac:dyDescent="0.2">
      <c r="A523" s="56" t="s">
        <v>648</v>
      </c>
      <c r="B523" s="57" t="s">
        <v>925</v>
      </c>
      <c r="C523" s="57" t="s">
        <v>962</v>
      </c>
      <c r="D523" s="57" t="s">
        <v>650</v>
      </c>
      <c r="E523" s="58" t="str">
        <f t="shared" si="61"/>
        <v>s34q318_how_knowhow</v>
      </c>
      <c r="F523" s="58" t="str">
        <f>CONCATENATE("Làm thế nào ông/bà hay họ biết cách sử dụng &lt;span style='color:blue;'&gt;${",E517,"}&lt;/span&gt;?")</f>
        <v>Làm thế nào ông/bà hay họ biết cách sử dụng &lt;span style='color:blue;'&gt;${s34c2_cur_vitamin_name_after_vacc}&lt;/span&gt;?</v>
      </c>
      <c r="G523" s="57" t="str">
        <f t="shared" si="62"/>
        <v>S34Q318: Làm thế nào ông/bà hay họ biết cách sử dụng &lt;span style='color:blue;'&gt;${s34c2_cur_vitamin_name_after_vacc}&lt;/span&gt;?</v>
      </c>
      <c r="H523" s="57"/>
      <c r="I523" s="57"/>
      <c r="J523" s="57"/>
      <c r="K523" s="57" t="s">
        <v>40</v>
      </c>
      <c r="L523" s="57"/>
      <c r="M523" s="57" t="str">
        <f>CONCATENATE("selected(${",E522,"},'myself') or selected(${",E522,"},'farm_worker') or selected(${",E522,"},'friends')")</f>
        <v>selected(${s34q317_who_admin},'myself') or selected(${s34q317_who_admin},'farm_worker') or selected(${s34q317_who_admin},'friends')</v>
      </c>
      <c r="N523" s="57"/>
      <c r="O523" s="57"/>
      <c r="P523" s="57"/>
      <c r="Q523" s="57"/>
      <c r="R523" s="57"/>
      <c r="S523" s="60"/>
    </row>
    <row r="524" spans="1:19" x14ac:dyDescent="0.2">
      <c r="A524" s="56" t="s">
        <v>88</v>
      </c>
      <c r="B524" s="57" t="s">
        <v>925</v>
      </c>
      <c r="C524" s="57" t="s">
        <v>963</v>
      </c>
      <c r="D524" s="57" t="s">
        <v>652</v>
      </c>
      <c r="E524" s="58" t="str">
        <f t="shared" si="61"/>
        <v>s34q319_no_occassions</v>
      </c>
      <c r="F524" s="58" t="str">
        <f>CONCATENATE("Ông/bà dùng các loại &lt;span style='color:blue;'&gt;${",E517,"}&lt;/span&gt; cho đàn gà của mình bao nhiêu lần?")</f>
        <v>Ông/bà dùng các loại &lt;span style='color:blue;'&gt;${s34c2_cur_vitamin_name_after_vacc}&lt;/span&gt; cho đàn gà của mình bao nhiêu lần?</v>
      </c>
      <c r="G524" s="57" t="str">
        <f t="shared" si="62"/>
        <v>S34Q319: Ông/bà dùng các loại &lt;span style='color:blue;'&gt;${s34c2_cur_vitamin_name_after_vacc}&lt;/span&gt; cho đàn gà của mình bao nhiêu lần?</v>
      </c>
      <c r="H524" s="57"/>
      <c r="I524" s="57" t="s">
        <v>184</v>
      </c>
      <c r="J524" s="57"/>
      <c r="K524" s="57" t="s">
        <v>40</v>
      </c>
      <c r="L524" s="57"/>
      <c r="M524" s="57"/>
      <c r="N524" s="57"/>
      <c r="O524" s="57"/>
      <c r="P524" s="57"/>
      <c r="Q524" s="57"/>
      <c r="R524" s="57"/>
      <c r="S524" s="60"/>
    </row>
    <row r="525" spans="1:19" x14ac:dyDescent="0.2">
      <c r="A525" s="56" t="s">
        <v>88</v>
      </c>
      <c r="B525" s="57" t="s">
        <v>925</v>
      </c>
      <c r="C525" s="57" t="s">
        <v>964</v>
      </c>
      <c r="D525" s="57" t="s">
        <v>598</v>
      </c>
      <c r="E525" s="58" t="str">
        <f t="shared" si="61"/>
        <v>s34q320_cost</v>
      </c>
      <c r="F525" s="58" t="str">
        <f>CONCATENATE("Tổng chi phí cho các loại &lt;span style='color:blue;'&gt;${",E517,"}&lt;/span&gt; lần đó là khoảng bao nhiêu? (Lưu ý: tính bằng nghìn VNĐ)")</f>
        <v>Tổng chi phí cho các loại &lt;span style='color:blue;'&gt;${s34c2_cur_vitamin_name_after_vacc}&lt;/span&gt; lần đó là khoảng bao nhiêu? (Lưu ý: tính bằng nghìn VNĐ)</v>
      </c>
      <c r="G525" s="57" t="str">
        <f t="shared" si="62"/>
        <v>S34Q320: Tổng chi phí cho các loại &lt;span style='color:blue;'&gt;${s34c2_cur_vitamin_name_after_vacc}&lt;/span&gt; lần đó là khoảng bao nhiêu? (Lưu ý: tính bằng nghìn VNĐ)</v>
      </c>
      <c r="H525" s="57" t="s">
        <v>2617</v>
      </c>
      <c r="I525" s="57" t="s">
        <v>106</v>
      </c>
      <c r="J525" s="57"/>
      <c r="K525" s="57" t="s">
        <v>40</v>
      </c>
      <c r="L525" s="57"/>
      <c r="M525" s="57"/>
      <c r="N525" s="57"/>
      <c r="O525" s="57"/>
      <c r="P525" s="57"/>
      <c r="Q525" s="57"/>
      <c r="R525" s="57"/>
      <c r="S525" s="60"/>
    </row>
    <row r="526" spans="1:19" x14ac:dyDescent="0.2">
      <c r="A526" s="62" t="s">
        <v>74</v>
      </c>
      <c r="C526" s="4" t="s">
        <v>43</v>
      </c>
      <c r="S526" s="63"/>
    </row>
    <row r="527" spans="1:19" ht="12.75" thickBot="1" x14ac:dyDescent="0.25">
      <c r="A527" s="64" t="s">
        <v>147</v>
      </c>
      <c r="B527" s="65"/>
      <c r="C527" s="65" t="s">
        <v>43</v>
      </c>
      <c r="D527" s="65"/>
      <c r="E527" s="65"/>
      <c r="F527" s="65"/>
      <c r="G527" s="65"/>
      <c r="H527" s="65"/>
      <c r="I527" s="65"/>
      <c r="J527" s="65"/>
      <c r="K527" s="65"/>
      <c r="L527" s="65"/>
      <c r="M527" s="65"/>
      <c r="N527" s="65"/>
      <c r="O527" s="65"/>
      <c r="P527" s="65"/>
      <c r="Q527" s="65"/>
      <c r="R527" s="65"/>
      <c r="S527" s="66"/>
    </row>
    <row r="528" spans="1:19" x14ac:dyDescent="0.2">
      <c r="A528" s="16" t="s">
        <v>67</v>
      </c>
      <c r="B528" s="16" t="s">
        <v>965</v>
      </c>
      <c r="C528" s="16" t="s">
        <v>966</v>
      </c>
      <c r="D528" s="16" t="s">
        <v>967</v>
      </c>
      <c r="E528" s="17" t="str">
        <f t="shared" ref="E528:E543" si="63">CONCATENATE(B528,C528,"_",D528)</f>
        <v>s35q321_is_meds_given</v>
      </c>
      <c r="F528" s="16" t="s">
        <v>2756</v>
      </c>
      <c r="G528" s="16" t="str">
        <f>CONCATENATE(UPPER(B528),UPPER(C528),": ",F528)</f>
        <v>S35Q321: Ở lứa gà nuôi gần đây nhất, bên cạnh các lần nuôi Chúng ta đã vừa đề cập đến; ông/bà có sử dụng bất cứ loại chất/thuốc nào cho đàn gà của minh khi chúng vẫn khỏe mạnh để nhằm phòng chống bệnh?</v>
      </c>
      <c r="H528" s="16"/>
      <c r="I528" s="16"/>
      <c r="J528" s="16"/>
      <c r="K528" s="16" t="s">
        <v>40</v>
      </c>
      <c r="L528" s="16" t="s">
        <v>50</v>
      </c>
      <c r="M528" s="16"/>
      <c r="N528" s="16"/>
      <c r="O528" s="16"/>
      <c r="P528" s="16"/>
      <c r="Q528" s="16"/>
      <c r="R528" s="16"/>
      <c r="S528" s="16"/>
    </row>
    <row r="529" spans="1:19" ht="12.75" thickBot="1" x14ac:dyDescent="0.25">
      <c r="A529" s="16" t="s">
        <v>936</v>
      </c>
      <c r="B529" s="16" t="s">
        <v>965</v>
      </c>
      <c r="C529" s="16" t="s">
        <v>968</v>
      </c>
      <c r="D529" s="16" t="s">
        <v>969</v>
      </c>
      <c r="E529" s="17" t="str">
        <f t="shared" si="63"/>
        <v>s35q322_which_meds</v>
      </c>
      <c r="F529" s="16" t="s">
        <v>2714</v>
      </c>
      <c r="G529" s="16" t="str">
        <f>CONCATENATE(UPPER(B529),UPPER(C529),": ",F529)</f>
        <v xml:space="preserve">S35Q322: Ông/bà đã sử dụng loại chất/thuốc bổ sung nào? </v>
      </c>
      <c r="H529" s="16" t="s">
        <v>970</v>
      </c>
      <c r="I529" s="16"/>
      <c r="J529" s="16"/>
      <c r="K529" s="16" t="s">
        <v>40</v>
      </c>
      <c r="L529" s="16"/>
      <c r="M529" s="16" t="str">
        <f>CONCATENATE("selected(${",E528,"},'yes')")</f>
        <v>selected(${s35q321_is_meds_given},'yes')</v>
      </c>
      <c r="N529" s="16"/>
      <c r="O529" s="16"/>
      <c r="P529" s="16"/>
      <c r="Q529" s="16"/>
      <c r="R529" s="16"/>
      <c r="S529" s="16"/>
    </row>
    <row r="530" spans="1:19" x14ac:dyDescent="0.2">
      <c r="A530" s="67" t="s">
        <v>619</v>
      </c>
      <c r="B530" s="68" t="s">
        <v>965</v>
      </c>
      <c r="C530" s="68" t="s">
        <v>971</v>
      </c>
      <c r="D530" s="68" t="s">
        <v>750</v>
      </c>
      <c r="E530" s="69" t="str">
        <f t="shared" si="63"/>
        <v>s35q323_antibiotics</v>
      </c>
      <c r="F530" s="68" t="s">
        <v>2757</v>
      </c>
      <c r="G530" s="68" t="str">
        <f>CONCATENATE(UPPER(B530),UPPER(C530),": ",F530)</f>
        <v>S35Q323: Ông/bà bổ sung loại kháng sinh nào?</v>
      </c>
      <c r="H530" s="68"/>
      <c r="I530" s="68"/>
      <c r="J530" s="68"/>
      <c r="K530" s="68" t="s">
        <v>40</v>
      </c>
      <c r="L530" s="68" t="s">
        <v>624</v>
      </c>
      <c r="M530" s="68" t="str">
        <f>CONCATENATE("selected(${",E529,"},'antibiotic')")</f>
        <v>selected(${s35q322_which_meds},'antibiotic')</v>
      </c>
      <c r="N530" s="68"/>
      <c r="O530" s="68"/>
      <c r="P530" s="68"/>
      <c r="Q530" s="68"/>
      <c r="R530" s="68"/>
      <c r="S530" s="70"/>
    </row>
    <row r="531" spans="1:19" x14ac:dyDescent="0.2">
      <c r="A531" s="71" t="s">
        <v>123</v>
      </c>
      <c r="B531" s="72" t="s">
        <v>965</v>
      </c>
      <c r="C531" s="72" t="s">
        <v>43</v>
      </c>
      <c r="D531" s="72" t="s">
        <v>941</v>
      </c>
      <c r="E531" s="73" t="str">
        <f t="shared" si="63"/>
        <v>s35_rpt_abs_after_vacc</v>
      </c>
      <c r="F531" s="72" t="s">
        <v>2758</v>
      </c>
      <c r="G531" s="72" t="str">
        <f>CONCATENATE(UPPER(B531),UPPER(C531),": ",F531)</f>
        <v>S35: Các loại thuốc</v>
      </c>
      <c r="H531" s="72"/>
      <c r="I531" s="72"/>
      <c r="J531" s="72"/>
      <c r="K531" s="72"/>
      <c r="L531" s="72"/>
      <c r="M531" s="72" t="str">
        <f>CONCATENATE("selected(${",E529,"},'antibiotic')")</f>
        <v>selected(${s35q322_which_meds},'antibiotic')</v>
      </c>
      <c r="N531" s="72"/>
      <c r="O531" s="74" t="str">
        <f>CONCATENATE("count-selected(${",E530,"})")</f>
        <v>count-selected(${s35q323_antibiotics})</v>
      </c>
      <c r="P531" s="72"/>
      <c r="Q531" s="72"/>
      <c r="R531" s="72"/>
      <c r="S531" s="75"/>
    </row>
    <row r="532" spans="1:19" x14ac:dyDescent="0.2">
      <c r="A532" s="71" t="s">
        <v>127</v>
      </c>
      <c r="B532" s="72" t="s">
        <v>965</v>
      </c>
      <c r="C532" s="72" t="s">
        <v>128</v>
      </c>
      <c r="D532" s="72" t="s">
        <v>942</v>
      </c>
      <c r="E532" s="73" t="str">
        <f t="shared" si="63"/>
        <v>s35c1_cur_ab_after_vacc</v>
      </c>
      <c r="F532" s="72"/>
      <c r="G532" s="72"/>
      <c r="H532" s="72"/>
      <c r="I532" s="72"/>
      <c r="J532" s="72"/>
      <c r="K532" s="72"/>
      <c r="L532" s="72"/>
      <c r="M532" s="72"/>
      <c r="N532" s="72"/>
      <c r="O532" s="72"/>
      <c r="P532" s="76" t="str">
        <f>CONCATENATE("selected-at(${",E530,"}, position(..)-1)")</f>
        <v>selected-at(${s35q323_antibiotics}, position(..)-1)</v>
      </c>
      <c r="Q532" s="72"/>
      <c r="R532" s="72"/>
      <c r="S532" s="75"/>
    </row>
    <row r="533" spans="1:19" x14ac:dyDescent="0.2">
      <c r="A533" s="71" t="s">
        <v>127</v>
      </c>
      <c r="B533" s="72" t="s">
        <v>965</v>
      </c>
      <c r="C533" s="72" t="s">
        <v>130</v>
      </c>
      <c r="D533" s="72" t="s">
        <v>943</v>
      </c>
      <c r="E533" s="73" t="str">
        <f t="shared" si="63"/>
        <v>s35c2_cur_ab_name_after_vacc</v>
      </c>
      <c r="F533" s="72"/>
      <c r="G533" s="72"/>
      <c r="H533" s="72"/>
      <c r="I533" s="72"/>
      <c r="J533" s="72"/>
      <c r="K533" s="72"/>
      <c r="L533" s="72"/>
      <c r="M533" s="72"/>
      <c r="N533" s="72"/>
      <c r="O533" s="72"/>
      <c r="P533" s="76" t="str">
        <f>CONCATENATE("if(string-length(../",E532,") != 0,jr:choice-name(${",E532,"},'${",E530,"}'),'unknown')")</f>
        <v>if(string-length(../s35c1_cur_ab_after_vacc) != 0,jr:choice-name(${s35c1_cur_ab_after_vacc},'${s35q323_antibiotics}'),'unknown')</v>
      </c>
      <c r="Q533" s="72"/>
      <c r="R533" s="72"/>
      <c r="S533" s="75"/>
    </row>
    <row r="534" spans="1:19" x14ac:dyDescent="0.2">
      <c r="A534" s="71" t="s">
        <v>41</v>
      </c>
      <c r="B534" s="72" t="s">
        <v>965</v>
      </c>
      <c r="C534" s="72" t="s">
        <v>43</v>
      </c>
      <c r="D534" s="72" t="s">
        <v>944</v>
      </c>
      <c r="E534" s="73" t="str">
        <f t="shared" si="63"/>
        <v>s35_grp_abs_after_vacc</v>
      </c>
      <c r="F534" s="72" t="s">
        <v>2716</v>
      </c>
      <c r="G534" s="72" t="str">
        <f t="shared" ref="G534:G543" si="64">CONCATENATE(UPPER(B534),UPPER(C534),": ",F534)</f>
        <v>S35: Thông tin chi tiết loại thuốc</v>
      </c>
      <c r="H534" s="72"/>
      <c r="I534" s="72"/>
      <c r="J534" s="72"/>
      <c r="K534" s="72"/>
      <c r="L534" s="72"/>
      <c r="M534" s="72"/>
      <c r="N534" s="72"/>
      <c r="O534" s="74"/>
      <c r="P534" s="72"/>
      <c r="Q534" s="72"/>
      <c r="R534" s="72"/>
      <c r="S534" s="75"/>
    </row>
    <row r="535" spans="1:19" x14ac:dyDescent="0.2">
      <c r="A535" s="72" t="s">
        <v>628</v>
      </c>
      <c r="B535" s="72" t="s">
        <v>965</v>
      </c>
      <c r="C535" s="72" t="s">
        <v>972</v>
      </c>
      <c r="D535" s="72" t="s">
        <v>630</v>
      </c>
      <c r="E535" s="73" t="str">
        <f t="shared" si="63"/>
        <v>s35q324_how_ab_combined</v>
      </c>
      <c r="F535" s="72" t="str">
        <f>CONCATENATE("Loại &lt;span style='color:blue;'&gt;${",E533,"}&lt;/span&gt; là ở dạng đơn hay ở dạng hỗn hợp với các loại kháng sinh khác?")</f>
        <v>Loại &lt;span style='color:blue;'&gt;${s35c2_cur_ab_name_after_vacc}&lt;/span&gt; là ở dạng đơn hay ở dạng hỗn hợp với các loại kháng sinh khác?</v>
      </c>
      <c r="G535" s="72" t="str">
        <f t="shared" si="64"/>
        <v>S35Q324: Loại &lt;span style='color:blue;'&gt;${s35c2_cur_ab_name_after_vacc}&lt;/span&gt; là ở dạng đơn hay ở dạng hỗn hợp với các loại kháng sinh khác?</v>
      </c>
      <c r="H535" s="72"/>
      <c r="I535" s="72"/>
      <c r="J535" s="72"/>
      <c r="K535" s="72" t="s">
        <v>40</v>
      </c>
      <c r="L535" s="72" t="s">
        <v>50</v>
      </c>
      <c r="M535" s="72"/>
      <c r="N535" s="72"/>
      <c r="O535" s="72"/>
      <c r="P535" s="72"/>
      <c r="Q535" s="72"/>
      <c r="R535" s="72"/>
      <c r="S535" s="72"/>
    </row>
    <row r="536" spans="1:19" x14ac:dyDescent="0.2">
      <c r="A536" s="72" t="s">
        <v>619</v>
      </c>
      <c r="B536" s="72" t="s">
        <v>965</v>
      </c>
      <c r="C536" s="72" t="s">
        <v>973</v>
      </c>
      <c r="D536" s="72" t="s">
        <v>632</v>
      </c>
      <c r="E536" s="73" t="str">
        <f t="shared" si="63"/>
        <v>s35q325_ab_combined</v>
      </c>
      <c r="F536" s="72" t="str">
        <f>CONCATENATE("Chọn loại kháng sinh phối/hỗn hợp cùng với &lt;span style='color:blue;'&gt;${",E533,"}&lt;/span&gt;")</f>
        <v>Chọn loại kháng sinh phối/hỗn hợp cùng với &lt;span style='color:blue;'&gt;${s35c2_cur_ab_name_after_vacc}&lt;/span&gt;</v>
      </c>
      <c r="G536" s="72" t="str">
        <f t="shared" si="64"/>
        <v>S35Q325: Chọn loại kháng sinh phối/hỗn hợp cùng với &lt;span style='color:blue;'&gt;${s35c2_cur_ab_name_after_vacc}&lt;/span&gt;</v>
      </c>
      <c r="H536" s="72"/>
      <c r="I536" s="72"/>
      <c r="J536" s="72"/>
      <c r="K536" s="72" t="s">
        <v>40</v>
      </c>
      <c r="L536" s="72"/>
      <c r="M536" s="72" t="str">
        <f>CONCATENATE("selected(${",E535,"},'combined')")</f>
        <v>selected(${s35q324_how_ab_combined},'combined')</v>
      </c>
      <c r="N536" s="72"/>
      <c r="O536" s="72"/>
      <c r="P536" s="72"/>
      <c r="Q536" s="72"/>
      <c r="R536" s="72"/>
      <c r="S536" s="72"/>
    </row>
    <row r="537" spans="1:19" x14ac:dyDescent="0.2">
      <c r="A537" s="71" t="s">
        <v>633</v>
      </c>
      <c r="B537" s="72" t="s">
        <v>965</v>
      </c>
      <c r="C537" s="72" t="s">
        <v>974</v>
      </c>
      <c r="D537" s="72" t="s">
        <v>635</v>
      </c>
      <c r="E537" s="73" t="str">
        <f t="shared" si="63"/>
        <v>s35q326_purpose</v>
      </c>
      <c r="F537" s="72" t="str">
        <f>CONCATENATE("Ông/bà dùng &lt;span style='color:blue;'&gt;${",E533,"}&lt;/span&gt; cho mục đích gì")</f>
        <v>Ông/bà dùng &lt;span style='color:blue;'&gt;${s35c2_cur_ab_name_after_vacc}&lt;/span&gt; cho mục đích gì</v>
      </c>
      <c r="G537" s="72" t="str">
        <f t="shared" si="64"/>
        <v>S35Q326: Ông/bà dùng &lt;span style='color:blue;'&gt;${s35c2_cur_ab_name_after_vacc}&lt;/span&gt; cho mục đích gì</v>
      </c>
      <c r="H537" s="72"/>
      <c r="I537" s="72"/>
      <c r="J537" s="72"/>
      <c r="K537" s="72" t="s">
        <v>40</v>
      </c>
      <c r="L537" s="72"/>
      <c r="M537" s="72"/>
      <c r="N537" s="72"/>
      <c r="O537" s="72"/>
      <c r="P537" s="72"/>
      <c r="Q537" s="72"/>
      <c r="R537" s="72"/>
      <c r="S537" s="75"/>
    </row>
    <row r="538" spans="1:19" x14ac:dyDescent="0.2">
      <c r="A538" s="71" t="s">
        <v>636</v>
      </c>
      <c r="B538" s="72" t="s">
        <v>965</v>
      </c>
      <c r="C538" s="72" t="s">
        <v>975</v>
      </c>
      <c r="D538" s="72" t="s">
        <v>638</v>
      </c>
      <c r="E538" s="73" t="str">
        <f t="shared" si="63"/>
        <v>s35q327_use_reason</v>
      </c>
      <c r="F538" s="72" t="str">
        <f>CONCATENATE("Vì sao ông/bà quyết định sử dụng loại &lt;span style='color:blue;'&gt;${",E533,"}&lt;/span&gt;?")</f>
        <v>Vì sao ông/bà quyết định sử dụng loại &lt;span style='color:blue;'&gt;${s35c2_cur_ab_name_after_vacc}&lt;/span&gt;?</v>
      </c>
      <c r="G538" s="72" t="str">
        <f t="shared" si="64"/>
        <v>S35Q327: Vì sao ông/bà quyết định sử dụng loại &lt;span style='color:blue;'&gt;${s35c2_cur_ab_name_after_vacc}&lt;/span&gt;?</v>
      </c>
      <c r="H538" s="72"/>
      <c r="I538" s="72"/>
      <c r="J538" s="72"/>
      <c r="K538" s="72" t="s">
        <v>40</v>
      </c>
      <c r="L538" s="72"/>
      <c r="M538" s="72"/>
      <c r="N538" s="72"/>
      <c r="O538" s="72"/>
      <c r="P538" s="72"/>
      <c r="Q538" s="72"/>
      <c r="R538" s="72"/>
      <c r="S538" s="75"/>
    </row>
    <row r="539" spans="1:19" x14ac:dyDescent="0.2">
      <c r="A539" s="71" t="s">
        <v>639</v>
      </c>
      <c r="B539" s="72" t="s">
        <v>965</v>
      </c>
      <c r="C539" s="72" t="s">
        <v>976</v>
      </c>
      <c r="D539" s="72" t="s">
        <v>641</v>
      </c>
      <c r="E539" s="73" t="str">
        <f t="shared" si="63"/>
        <v>s35q328_source</v>
      </c>
      <c r="F539" s="72" t="str">
        <f>CONCATENATE("Ông/bà mua &lt;span style='color:blue;'&gt;${",E533,"}&lt;/span&gt; đó ở đâu?")</f>
        <v>Ông/bà mua &lt;span style='color:blue;'&gt;${s35c2_cur_ab_name_after_vacc}&lt;/span&gt; đó ở đâu?</v>
      </c>
      <c r="G539" s="72" t="str">
        <f t="shared" si="64"/>
        <v>S35Q328: Ông/bà mua &lt;span style='color:blue;'&gt;${s35c2_cur_ab_name_after_vacc}&lt;/span&gt; đó ở đâu?</v>
      </c>
      <c r="H539" s="72"/>
      <c r="I539" s="72"/>
      <c r="J539" s="72"/>
      <c r="K539" s="72" t="s">
        <v>40</v>
      </c>
      <c r="L539" s="72"/>
      <c r="M539" s="72"/>
      <c r="N539" s="72"/>
      <c r="O539" s="72"/>
      <c r="P539" s="72"/>
      <c r="Q539" s="72"/>
      <c r="R539" s="72"/>
      <c r="S539" s="75"/>
    </row>
    <row r="540" spans="1:19" x14ac:dyDescent="0.2">
      <c r="A540" s="71" t="s">
        <v>645</v>
      </c>
      <c r="B540" s="72" t="s">
        <v>965</v>
      </c>
      <c r="C540" s="72" t="s">
        <v>977</v>
      </c>
      <c r="D540" s="72" t="s">
        <v>647</v>
      </c>
      <c r="E540" s="73" t="str">
        <f t="shared" si="63"/>
        <v>s35q329_who_admin</v>
      </c>
      <c r="F540" s="72" t="str">
        <f>CONCATENATE("Ai là người dùng/trộn/tiêm &lt;span style='color:blue;'&gt;${",E533,"}&lt;/span&gt; đó cho đàn gà?")</f>
        <v>Ai là người dùng/trộn/tiêm &lt;span style='color:blue;'&gt;${s35c2_cur_ab_name_after_vacc}&lt;/span&gt; đó cho đàn gà?</v>
      </c>
      <c r="G540" s="72" t="str">
        <f t="shared" si="64"/>
        <v>S35Q329: Ai là người dùng/trộn/tiêm &lt;span style='color:blue;'&gt;${s35c2_cur_ab_name_after_vacc}&lt;/span&gt; đó cho đàn gà?</v>
      </c>
      <c r="H540" s="72"/>
      <c r="I540" s="72"/>
      <c r="J540" s="72"/>
      <c r="K540" s="72" t="s">
        <v>40</v>
      </c>
      <c r="L540" s="72"/>
      <c r="M540" s="72"/>
      <c r="N540" s="72"/>
      <c r="O540" s="72"/>
      <c r="P540" s="72"/>
      <c r="Q540" s="72"/>
      <c r="R540" s="72"/>
      <c r="S540" s="75"/>
    </row>
    <row r="541" spans="1:19" x14ac:dyDescent="0.2">
      <c r="A541" s="71" t="s">
        <v>648</v>
      </c>
      <c r="B541" s="72" t="s">
        <v>965</v>
      </c>
      <c r="C541" s="72" t="s">
        <v>978</v>
      </c>
      <c r="D541" s="72" t="s">
        <v>650</v>
      </c>
      <c r="E541" s="73" t="str">
        <f t="shared" si="63"/>
        <v>s35q330_how_knowhow</v>
      </c>
      <c r="F541" s="72" t="str">
        <f>CONCATENATE("Làm thế nào ông/bà hay họ biết cách sử dụng &lt;span style='color:blue;'&gt;${",E533,"}&lt;/span&gt;?")</f>
        <v>Làm thế nào ông/bà hay họ biết cách sử dụng &lt;span style='color:blue;'&gt;${s35c2_cur_ab_name_after_vacc}&lt;/span&gt;?</v>
      </c>
      <c r="G541" s="72" t="str">
        <f t="shared" si="64"/>
        <v>S35Q330: Làm thế nào ông/bà hay họ biết cách sử dụng &lt;span style='color:blue;'&gt;${s35c2_cur_ab_name_after_vacc}&lt;/span&gt;?</v>
      </c>
      <c r="H541" s="72"/>
      <c r="I541" s="72"/>
      <c r="J541" s="72"/>
      <c r="K541" s="72" t="s">
        <v>40</v>
      </c>
      <c r="L541" s="72"/>
      <c r="M541" s="72" t="str">
        <f>CONCATENATE("selected(${",E540,"},'myself') or selected(${",E540,"},'farm_worker') or selected(${",E540,"},'friends')")</f>
        <v>selected(${s35q329_who_admin},'myself') or selected(${s35q329_who_admin},'farm_worker') or selected(${s35q329_who_admin},'friends')</v>
      </c>
      <c r="N541" s="72"/>
      <c r="O541" s="72"/>
      <c r="P541" s="72"/>
      <c r="Q541" s="72"/>
      <c r="R541" s="72"/>
      <c r="S541" s="75"/>
    </row>
    <row r="542" spans="1:19" x14ac:dyDescent="0.2">
      <c r="A542" s="71" t="s">
        <v>88</v>
      </c>
      <c r="B542" s="72" t="s">
        <v>965</v>
      </c>
      <c r="C542" s="72" t="s">
        <v>979</v>
      </c>
      <c r="D542" s="72" t="s">
        <v>652</v>
      </c>
      <c r="E542" s="73" t="str">
        <f t="shared" si="63"/>
        <v>s35q331_no_occassions</v>
      </c>
      <c r="F542" s="72" t="str">
        <f>CONCATENATE("Ông/bà dùng các loại &lt;span style='color:blue;'&gt;${",E533,"}&lt;/span&gt; cho đàn gà của mình bao nhiêu lần?")</f>
        <v>Ông/bà dùng các loại &lt;span style='color:blue;'&gt;${s35c2_cur_ab_name_after_vacc}&lt;/span&gt; cho đàn gà của mình bao nhiêu lần?</v>
      </c>
      <c r="G542" s="72" t="str">
        <f t="shared" si="64"/>
        <v>S35Q331: Ông/bà dùng các loại &lt;span style='color:blue;'&gt;${s35c2_cur_ab_name_after_vacc}&lt;/span&gt; cho đàn gà của mình bao nhiêu lần?</v>
      </c>
      <c r="H542" s="72"/>
      <c r="I542" s="72" t="s">
        <v>184</v>
      </c>
      <c r="J542" s="72"/>
      <c r="K542" s="72" t="s">
        <v>40</v>
      </c>
      <c r="L542" s="72"/>
      <c r="M542" s="72"/>
      <c r="N542" s="72"/>
      <c r="O542" s="72"/>
      <c r="P542" s="72"/>
      <c r="Q542" s="72"/>
      <c r="R542" s="72"/>
      <c r="S542" s="75"/>
    </row>
    <row r="543" spans="1:19" x14ac:dyDescent="0.2">
      <c r="A543" s="71" t="s">
        <v>88</v>
      </c>
      <c r="B543" s="72" t="s">
        <v>965</v>
      </c>
      <c r="C543" s="72" t="s">
        <v>980</v>
      </c>
      <c r="D543" s="72" t="s">
        <v>598</v>
      </c>
      <c r="E543" s="73" t="str">
        <f t="shared" si="63"/>
        <v>s35q332_cost</v>
      </c>
      <c r="F543" s="72" t="str">
        <f>CONCATENATE("Tổng chi phí cho các loại &lt;span style='color:blue;'&gt;${",E533,"}&lt;/span&gt; lần đó là khoảng bao nhiêu? (Lưu ý: tính bằng nghìn VNĐ)?")</f>
        <v>Tổng chi phí cho các loại &lt;span style='color:blue;'&gt;${s35c2_cur_ab_name_after_vacc}&lt;/span&gt; lần đó là khoảng bao nhiêu? (Lưu ý: tính bằng nghìn VNĐ)?</v>
      </c>
      <c r="G543" s="72" t="str">
        <f t="shared" si="64"/>
        <v>S35Q332: Tổng chi phí cho các loại &lt;span style='color:blue;'&gt;${s35c2_cur_ab_name_after_vacc}&lt;/span&gt; lần đó là khoảng bao nhiêu? (Lưu ý: tính bằng nghìn VNĐ)?</v>
      </c>
      <c r="H543" s="72" t="s">
        <v>2617</v>
      </c>
      <c r="I543" s="72" t="s">
        <v>106</v>
      </c>
      <c r="J543" s="72"/>
      <c r="K543" s="72" t="s">
        <v>40</v>
      </c>
      <c r="L543" s="72"/>
      <c r="M543" s="72"/>
      <c r="N543" s="72"/>
      <c r="O543" s="72"/>
      <c r="P543" s="72"/>
      <c r="Q543" s="72"/>
      <c r="R543" s="72"/>
      <c r="S543" s="75"/>
    </row>
    <row r="544" spans="1:19" x14ac:dyDescent="0.2">
      <c r="A544" s="62" t="s">
        <v>74</v>
      </c>
      <c r="C544" s="4" t="s">
        <v>43</v>
      </c>
      <c r="S544" s="63"/>
    </row>
    <row r="545" spans="1:19" ht="12.75" thickBot="1" x14ac:dyDescent="0.25">
      <c r="A545" s="64" t="s">
        <v>147</v>
      </c>
      <c r="B545" s="65"/>
      <c r="C545" s="65" t="s">
        <v>43</v>
      </c>
      <c r="D545" s="65"/>
      <c r="E545" s="65"/>
      <c r="F545" s="65"/>
      <c r="G545" s="65"/>
      <c r="H545" s="65"/>
      <c r="I545" s="65"/>
      <c r="J545" s="65"/>
      <c r="K545" s="65"/>
      <c r="L545" s="65"/>
      <c r="M545" s="65"/>
      <c r="N545" s="65"/>
      <c r="O545" s="65"/>
      <c r="P545" s="65"/>
      <c r="Q545" s="65"/>
      <c r="R545" s="65"/>
      <c r="S545" s="66"/>
    </row>
    <row r="546" spans="1:19" x14ac:dyDescent="0.2">
      <c r="A546" s="52" t="s">
        <v>981</v>
      </c>
      <c r="B546" s="53" t="s">
        <v>965</v>
      </c>
      <c r="C546" s="53" t="s">
        <v>982</v>
      </c>
      <c r="D546" s="53" t="s">
        <v>664</v>
      </c>
      <c r="E546" s="54" t="str">
        <f t="shared" ref="E546:E557" si="65">CONCATENATE(B546,C546,"_",D546)</f>
        <v>s35q333_vitamins</v>
      </c>
      <c r="F546" s="53" t="s">
        <v>2723</v>
      </c>
      <c r="G546" s="53" t="str">
        <f>CONCATENATE(UPPER(B546),UPPER(C546),": ",F546)</f>
        <v>S35Q333: Ông/bà có bổ sung loại vitamin nào không?</v>
      </c>
      <c r="H546" s="53"/>
      <c r="I546" s="53"/>
      <c r="J546" s="53"/>
      <c r="K546" s="53" t="s">
        <v>40</v>
      </c>
      <c r="L546" s="53" t="s">
        <v>624</v>
      </c>
      <c r="M546" s="53" t="str">
        <f>CONCATENATE("selected(${",E529,"},'vitamins')")</f>
        <v>selected(${s35q322_which_meds},'vitamins')</v>
      </c>
      <c r="N546" s="53"/>
      <c r="O546" s="53"/>
      <c r="P546" s="53"/>
      <c r="Q546" s="53"/>
      <c r="R546" s="53"/>
      <c r="S546" s="55"/>
    </row>
    <row r="547" spans="1:19" x14ac:dyDescent="0.2">
      <c r="A547" s="56" t="s">
        <v>123</v>
      </c>
      <c r="B547" s="57" t="s">
        <v>965</v>
      </c>
      <c r="C547" s="57" t="s">
        <v>43</v>
      </c>
      <c r="D547" s="57" t="s">
        <v>954</v>
      </c>
      <c r="E547" s="58" t="str">
        <f t="shared" si="65"/>
        <v>s35_rpt_vitamins_after_vacc</v>
      </c>
      <c r="F547" s="57" t="s">
        <v>2759</v>
      </c>
      <c r="G547" s="57" t="str">
        <f>CONCATENATE(UPPER(B547),UPPER(C547),": ",F547)</f>
        <v>S35: Thông tin thuốc</v>
      </c>
      <c r="H547" s="57"/>
      <c r="I547" s="57"/>
      <c r="J547" s="57"/>
      <c r="K547" s="57"/>
      <c r="L547" s="57"/>
      <c r="M547" s="57" t="str">
        <f>CONCATENATE("selected(${",E529,"},'vitamins')")</f>
        <v>selected(${s35q322_which_meds},'vitamins')</v>
      </c>
      <c r="N547" s="57"/>
      <c r="O547" s="59" t="str">
        <f>CONCATENATE("count-selected(${",E546,"})")</f>
        <v>count-selected(${s35q333_vitamins})</v>
      </c>
      <c r="P547" s="57"/>
      <c r="Q547" s="57"/>
      <c r="R547" s="57"/>
      <c r="S547" s="60"/>
    </row>
    <row r="548" spans="1:19" x14ac:dyDescent="0.2">
      <c r="A548" s="56" t="s">
        <v>127</v>
      </c>
      <c r="B548" s="57" t="s">
        <v>965</v>
      </c>
      <c r="C548" s="57" t="s">
        <v>128</v>
      </c>
      <c r="D548" s="57" t="s">
        <v>955</v>
      </c>
      <c r="E548" s="58" t="str">
        <f t="shared" si="65"/>
        <v>s35c1_cur_vitamin_after_vacc</v>
      </c>
      <c r="F548" s="57"/>
      <c r="G548" s="57"/>
      <c r="H548" s="57"/>
      <c r="I548" s="57"/>
      <c r="J548" s="57"/>
      <c r="K548" s="57"/>
      <c r="L548" s="57"/>
      <c r="M548" s="57"/>
      <c r="N548" s="57"/>
      <c r="O548" s="57"/>
      <c r="P548" s="61" t="str">
        <f>CONCATENATE("selected-at(${",E546,"}, position(..)-1)")</f>
        <v>selected-at(${s35q333_vitamins}, position(..)-1)</v>
      </c>
      <c r="Q548" s="57"/>
      <c r="R548" s="57"/>
      <c r="S548" s="60"/>
    </row>
    <row r="549" spans="1:19" x14ac:dyDescent="0.2">
      <c r="A549" s="56" t="s">
        <v>127</v>
      </c>
      <c r="B549" s="57" t="s">
        <v>965</v>
      </c>
      <c r="C549" s="57" t="s">
        <v>130</v>
      </c>
      <c r="D549" s="57" t="s">
        <v>956</v>
      </c>
      <c r="E549" s="58" t="str">
        <f t="shared" si="65"/>
        <v>s35c2_cur_vitamin_name_after_vacc</v>
      </c>
      <c r="F549" s="57"/>
      <c r="G549" s="57"/>
      <c r="H549" s="57"/>
      <c r="I549" s="57"/>
      <c r="J549" s="57"/>
      <c r="K549" s="57"/>
      <c r="L549" s="57"/>
      <c r="M549" s="57"/>
      <c r="N549" s="57"/>
      <c r="O549" s="57"/>
      <c r="P549" s="61" t="str">
        <f>CONCATENATE("if(string-length(../",E548,") != 0,jr:choice-name(${",E548,"},'${",E546,"}'),'unknown')")</f>
        <v>if(string-length(../s35c1_cur_vitamin_after_vacc) != 0,jr:choice-name(${s35c1_cur_vitamin_after_vacc},'${s35q333_vitamins}'),'unknown')</v>
      </c>
      <c r="Q549" s="57"/>
      <c r="R549" s="57"/>
      <c r="S549" s="60"/>
    </row>
    <row r="550" spans="1:19" x14ac:dyDescent="0.2">
      <c r="A550" s="56" t="s">
        <v>41</v>
      </c>
      <c r="B550" s="57" t="s">
        <v>965</v>
      </c>
      <c r="C550" s="57" t="s">
        <v>43</v>
      </c>
      <c r="D550" s="57" t="s">
        <v>957</v>
      </c>
      <c r="E550" s="58" t="str">
        <f t="shared" si="65"/>
        <v>s35_grp_vitamin_after_vacc</v>
      </c>
      <c r="F550" s="57" t="s">
        <v>2760</v>
      </c>
      <c r="G550" s="57" t="str">
        <f t="shared" ref="G550:G557" si="66">CONCATENATE(UPPER(B550),UPPER(C550),": ",F550)</f>
        <v>S35: Thông tin chi tiết về vitamin</v>
      </c>
      <c r="H550" s="57"/>
      <c r="I550" s="57"/>
      <c r="J550" s="57"/>
      <c r="K550" s="57"/>
      <c r="L550" s="57"/>
      <c r="M550" s="57"/>
      <c r="N550" s="57"/>
      <c r="O550" s="59"/>
      <c r="P550" s="57"/>
      <c r="Q550" s="57"/>
      <c r="R550" s="57"/>
      <c r="S550" s="60"/>
    </row>
    <row r="551" spans="1:19" x14ac:dyDescent="0.2">
      <c r="A551" s="56" t="s">
        <v>633</v>
      </c>
      <c r="B551" s="57" t="s">
        <v>965</v>
      </c>
      <c r="C551" s="57" t="s">
        <v>983</v>
      </c>
      <c r="D551" s="57" t="s">
        <v>635</v>
      </c>
      <c r="E551" s="58" t="str">
        <f t="shared" si="65"/>
        <v>s35q334_purpose</v>
      </c>
      <c r="F551" s="57" t="str">
        <f>CONCATENATE("Ông/bà dùng &lt;span style='color:blue;'&gt;${",E549,"}&lt;/span&gt; cho mục đích gì?")</f>
        <v>Ông/bà dùng &lt;span style='color:blue;'&gt;${s35c2_cur_vitamin_name_after_vacc}&lt;/span&gt; cho mục đích gì?</v>
      </c>
      <c r="G551" s="57" t="str">
        <f t="shared" si="66"/>
        <v>S35Q334: Ông/bà dùng &lt;span style='color:blue;'&gt;${s35c2_cur_vitamin_name_after_vacc}&lt;/span&gt; cho mục đích gì?</v>
      </c>
      <c r="H551" s="57"/>
      <c r="I551" s="57"/>
      <c r="J551" s="57"/>
      <c r="K551" s="57" t="s">
        <v>40</v>
      </c>
      <c r="L551" s="57"/>
      <c r="M551" s="57"/>
      <c r="N551" s="57"/>
      <c r="O551" s="57"/>
      <c r="P551" s="57"/>
      <c r="Q551" s="57"/>
      <c r="R551" s="57"/>
      <c r="S551" s="60"/>
    </row>
    <row r="552" spans="1:19" x14ac:dyDescent="0.2">
      <c r="A552" s="56" t="s">
        <v>636</v>
      </c>
      <c r="B552" s="57" t="s">
        <v>965</v>
      </c>
      <c r="C552" s="57" t="s">
        <v>984</v>
      </c>
      <c r="D552" s="57" t="s">
        <v>638</v>
      </c>
      <c r="E552" s="58" t="str">
        <f t="shared" si="65"/>
        <v>s35q335_use_reason</v>
      </c>
      <c r="F552" s="57" t="str">
        <f>CONCATENATE("Vì sao ông/bà quyết định sử dụng loại &lt;span style='color:blue;'&gt;${",E549,"}&lt;/span&gt;?")</f>
        <v>Vì sao ông/bà quyết định sử dụng loại &lt;span style='color:blue;'&gt;${s35c2_cur_vitamin_name_after_vacc}&lt;/span&gt;?</v>
      </c>
      <c r="G552" s="57" t="str">
        <f t="shared" si="66"/>
        <v>S35Q335: Vì sao ông/bà quyết định sử dụng loại &lt;span style='color:blue;'&gt;${s35c2_cur_vitamin_name_after_vacc}&lt;/span&gt;?</v>
      </c>
      <c r="H552" s="57"/>
      <c r="I552" s="57"/>
      <c r="J552" s="57"/>
      <c r="K552" s="57" t="s">
        <v>40</v>
      </c>
      <c r="L552" s="57"/>
      <c r="M552" s="57"/>
      <c r="N552" s="57"/>
      <c r="O552" s="57"/>
      <c r="P552" s="57"/>
      <c r="Q552" s="57"/>
      <c r="R552" s="57"/>
      <c r="S552" s="60"/>
    </row>
    <row r="553" spans="1:19" x14ac:dyDescent="0.2">
      <c r="A553" s="56" t="s">
        <v>639</v>
      </c>
      <c r="B553" s="57" t="s">
        <v>965</v>
      </c>
      <c r="C553" s="57" t="s">
        <v>985</v>
      </c>
      <c r="D553" s="57" t="s">
        <v>641</v>
      </c>
      <c r="E553" s="58" t="str">
        <f t="shared" si="65"/>
        <v>s35q336_source</v>
      </c>
      <c r="F553" s="57" t="str">
        <f>CONCATENATE("Ông/bà mua &lt;span style='color:blue;'&gt;${",E549,"}&lt;/span&gt; đó ở đâu?")</f>
        <v>Ông/bà mua &lt;span style='color:blue;'&gt;${s35c2_cur_vitamin_name_after_vacc}&lt;/span&gt; đó ở đâu?</v>
      </c>
      <c r="G553" s="57" t="str">
        <f t="shared" si="66"/>
        <v>S35Q336: Ông/bà mua &lt;span style='color:blue;'&gt;${s35c2_cur_vitamin_name_after_vacc}&lt;/span&gt; đó ở đâu?</v>
      </c>
      <c r="H553" s="57"/>
      <c r="I553" s="57"/>
      <c r="J553" s="57"/>
      <c r="K553" s="57" t="s">
        <v>40</v>
      </c>
      <c r="L553" s="57"/>
      <c r="M553" s="57"/>
      <c r="N553" s="57"/>
      <c r="O553" s="57"/>
      <c r="P553" s="57"/>
      <c r="Q553" s="57"/>
      <c r="R553" s="57"/>
      <c r="S553" s="60"/>
    </row>
    <row r="554" spans="1:19" x14ac:dyDescent="0.2">
      <c r="A554" s="56" t="s">
        <v>645</v>
      </c>
      <c r="B554" s="57" t="s">
        <v>965</v>
      </c>
      <c r="C554" s="57" t="s">
        <v>986</v>
      </c>
      <c r="D554" s="57" t="s">
        <v>647</v>
      </c>
      <c r="E554" s="58" t="str">
        <f t="shared" si="65"/>
        <v>s35q337_who_admin</v>
      </c>
      <c r="F554" s="57" t="str">
        <f>CONCATENATE("Ai là người dùng/trộn/tiêm &lt;span style='color:blue;'&gt;${",E549,"}&lt;/span&gt; đó cho đàn gà??")</f>
        <v>Ai là người dùng/trộn/tiêm &lt;span style='color:blue;'&gt;${s35c2_cur_vitamin_name_after_vacc}&lt;/span&gt; đó cho đàn gà??</v>
      </c>
      <c r="G554" s="57" t="str">
        <f t="shared" si="66"/>
        <v>S35Q337: Ai là người dùng/trộn/tiêm &lt;span style='color:blue;'&gt;${s35c2_cur_vitamin_name_after_vacc}&lt;/span&gt; đó cho đàn gà??</v>
      </c>
      <c r="H554" s="57"/>
      <c r="I554" s="57"/>
      <c r="J554" s="57"/>
      <c r="K554" s="57" t="s">
        <v>40</v>
      </c>
      <c r="L554" s="57"/>
      <c r="M554" s="57"/>
      <c r="N554" s="57"/>
      <c r="O554" s="57"/>
      <c r="P554" s="57"/>
      <c r="Q554" s="57"/>
      <c r="R554" s="57"/>
      <c r="S554" s="60"/>
    </row>
    <row r="555" spans="1:19" x14ac:dyDescent="0.2">
      <c r="A555" s="56" t="s">
        <v>648</v>
      </c>
      <c r="B555" s="57" t="s">
        <v>965</v>
      </c>
      <c r="C555" s="57" t="s">
        <v>987</v>
      </c>
      <c r="D555" s="57" t="s">
        <v>650</v>
      </c>
      <c r="E555" s="58" t="str">
        <f t="shared" si="65"/>
        <v>s35q338_how_knowhow</v>
      </c>
      <c r="F555" s="57" t="str">
        <f>CONCATENATE("Làm thế nào ông/bà hay họ biết cách sử dụng &lt;span style='color:blue;'&gt;${",E549,"}&lt;/span&gt;?")</f>
        <v>Làm thế nào ông/bà hay họ biết cách sử dụng &lt;span style='color:blue;'&gt;${s35c2_cur_vitamin_name_after_vacc}&lt;/span&gt;?</v>
      </c>
      <c r="G555" s="57" t="str">
        <f t="shared" si="66"/>
        <v>S35Q338: Làm thế nào ông/bà hay họ biết cách sử dụng &lt;span style='color:blue;'&gt;${s35c2_cur_vitamin_name_after_vacc}&lt;/span&gt;?</v>
      </c>
      <c r="H555" s="57"/>
      <c r="I555" s="57"/>
      <c r="J555" s="57"/>
      <c r="K555" s="57" t="s">
        <v>40</v>
      </c>
      <c r="L555" s="57"/>
      <c r="M555" s="57" t="str">
        <f>CONCATENATE("selected(${",E554,"},'myself') or selected(${",E554,"},'farm_worker') or selected(${",E554,"},'friends')")</f>
        <v>selected(${s35q337_who_admin},'myself') or selected(${s35q337_who_admin},'farm_worker') or selected(${s35q337_who_admin},'friends')</v>
      </c>
      <c r="N555" s="57"/>
      <c r="O555" s="57"/>
      <c r="P555" s="57"/>
      <c r="Q555" s="57"/>
      <c r="R555" s="57"/>
      <c r="S555" s="60"/>
    </row>
    <row r="556" spans="1:19" x14ac:dyDescent="0.2">
      <c r="A556" s="56" t="s">
        <v>88</v>
      </c>
      <c r="B556" s="57" t="s">
        <v>965</v>
      </c>
      <c r="C556" s="57" t="s">
        <v>988</v>
      </c>
      <c r="D556" s="57" t="s">
        <v>652</v>
      </c>
      <c r="E556" s="58" t="str">
        <f t="shared" si="65"/>
        <v>s35q339_no_occassions</v>
      </c>
      <c r="F556" s="57" t="str">
        <f>CONCATENATE("Ông/bà dùng các loại &lt;span style='color:blue;'&gt;${",E549,"}&lt;/span&gt; cho đàn gà của mình bao nhiêu lần??")</f>
        <v>Ông/bà dùng các loại &lt;span style='color:blue;'&gt;${s35c2_cur_vitamin_name_after_vacc}&lt;/span&gt; cho đàn gà của mình bao nhiêu lần??</v>
      </c>
      <c r="G556" s="57" t="str">
        <f t="shared" si="66"/>
        <v>S35Q339: Ông/bà dùng các loại &lt;span style='color:blue;'&gt;${s35c2_cur_vitamin_name_after_vacc}&lt;/span&gt; cho đàn gà của mình bao nhiêu lần??</v>
      </c>
      <c r="H556" s="57" t="s">
        <v>2764</v>
      </c>
      <c r="I556" s="57" t="s">
        <v>184</v>
      </c>
      <c r="J556" s="57"/>
      <c r="K556" s="57" t="s">
        <v>40</v>
      </c>
      <c r="L556" s="57"/>
      <c r="M556" s="57"/>
      <c r="N556" s="57"/>
      <c r="O556" s="57"/>
      <c r="P556" s="57"/>
      <c r="Q556" s="57"/>
      <c r="R556" s="57"/>
      <c r="S556" s="60"/>
    </row>
    <row r="557" spans="1:19" x14ac:dyDescent="0.2">
      <c r="A557" s="56" t="s">
        <v>88</v>
      </c>
      <c r="B557" s="57" t="s">
        <v>965</v>
      </c>
      <c r="C557" s="57" t="s">
        <v>989</v>
      </c>
      <c r="D557" s="57" t="s">
        <v>598</v>
      </c>
      <c r="E557" s="58" t="str">
        <f t="shared" si="65"/>
        <v>s35q340_cost</v>
      </c>
      <c r="F557" s="57" t="str">
        <f>CONCATENATE("Tổng chi phí cho các loại &lt;span style='color:blue;'&gt;${",E549,"}&lt;/span&gt;  trong lần đó dùng sau khi tiêm vaccin là bao nhiêu tiền?")</f>
        <v>Tổng chi phí cho các loại &lt;span style='color:blue;'&gt;${s35c2_cur_vitamin_name_after_vacc}&lt;/span&gt;  trong lần đó dùng sau khi tiêm vaccin là bao nhiêu tiền?</v>
      </c>
      <c r="G557" s="57" t="str">
        <f t="shared" si="66"/>
        <v>S35Q340: Tổng chi phí cho các loại &lt;span style='color:blue;'&gt;${s35c2_cur_vitamin_name_after_vacc}&lt;/span&gt;  trong lần đó dùng sau khi tiêm vaccin là bao nhiêu tiền?</v>
      </c>
      <c r="H557" s="57" t="s">
        <v>2617</v>
      </c>
      <c r="I557" s="57" t="s">
        <v>106</v>
      </c>
      <c r="J557" s="57"/>
      <c r="K557" s="57" t="s">
        <v>40</v>
      </c>
      <c r="L557" s="57"/>
      <c r="M557" s="57"/>
      <c r="N557" s="57"/>
      <c r="O557" s="57"/>
      <c r="P557" s="57"/>
      <c r="Q557" s="57"/>
      <c r="R557" s="57"/>
      <c r="S557" s="60"/>
    </row>
    <row r="558" spans="1:19" x14ac:dyDescent="0.2">
      <c r="A558" s="62" t="s">
        <v>74</v>
      </c>
      <c r="C558" s="4" t="s">
        <v>43</v>
      </c>
      <c r="S558" s="63"/>
    </row>
    <row r="559" spans="1:19" ht="12.75" thickBot="1" x14ac:dyDescent="0.25">
      <c r="A559" s="64" t="s">
        <v>147</v>
      </c>
      <c r="B559" s="65"/>
      <c r="C559" s="65" t="s">
        <v>43</v>
      </c>
      <c r="D559" s="65"/>
      <c r="E559" s="65"/>
      <c r="F559" s="65"/>
      <c r="G559" s="65"/>
      <c r="H559" s="65"/>
      <c r="I559" s="65"/>
      <c r="J559" s="65"/>
      <c r="K559" s="65"/>
      <c r="L559" s="65"/>
      <c r="M559" s="65"/>
      <c r="N559" s="65"/>
      <c r="O559" s="65"/>
      <c r="P559" s="65"/>
      <c r="Q559" s="65"/>
      <c r="R559" s="65"/>
      <c r="S559" s="66"/>
    </row>
    <row r="560" spans="1:19" x14ac:dyDescent="0.2">
      <c r="A560" s="4" t="s">
        <v>294</v>
      </c>
      <c r="B560" s="4" t="s">
        <v>655</v>
      </c>
      <c r="C560" s="4" t="s">
        <v>43</v>
      </c>
      <c r="D560" s="4" t="s">
        <v>990</v>
      </c>
      <c r="E560" s="6" t="str">
        <f>CONCATENATE(B560,C560,"_",D560)</f>
        <v>s36_note_illness_sickness</v>
      </c>
      <c r="F560" s="4" t="s">
        <v>2717</v>
      </c>
      <c r="G560" s="4" t="str">
        <f t="shared" ref="G560:G565" si="67">CONCATENATE(UPPER(B560),UPPER(C560),": ",F560)</f>
        <v>S36: Bây giờ, tôi sẽ xin hỏi ông/bà một số câu hỏi về  &lt;span style='color:blue;'&gt;TÌNH HÌNH SỨC KHỎE CỦA ĐÀN GÀ &lt;/span&gt; in the &lt;span style='color:blue;'&gt;CỦA LỨA GẦN ĐÂY NHẤT &lt;/span&gt;</v>
      </c>
    </row>
    <row r="561" spans="1:19" x14ac:dyDescent="0.2">
      <c r="A561" s="21" t="s">
        <v>67</v>
      </c>
      <c r="B561" s="21" t="s">
        <v>655</v>
      </c>
      <c r="C561" s="43" t="s">
        <v>991</v>
      </c>
      <c r="D561" s="21" t="s">
        <v>992</v>
      </c>
      <c r="E561" s="22" t="str">
        <f t="shared" ref="E561:E570" si="68">CONCATENATE(B561,C561,"_",D561)</f>
        <v>s36q341_is_sick</v>
      </c>
      <c r="F561" s="21" t="s">
        <v>2718</v>
      </c>
      <c r="G561" s="21" t="str">
        <f t="shared" si="67"/>
        <v>S36Q341: Ở lứa gà nuôi gần đây nhất, ông/bà có thấy gà trong đàn của mình bị ốm/bệnh, hoặc có thể có 1 số con chết không?</v>
      </c>
      <c r="H561" s="21"/>
      <c r="I561" s="21"/>
      <c r="J561" s="21"/>
      <c r="K561" s="21" t="s">
        <v>40</v>
      </c>
      <c r="L561" s="21" t="s">
        <v>50</v>
      </c>
      <c r="M561" s="21"/>
      <c r="N561" s="21"/>
      <c r="O561" s="21"/>
      <c r="P561" s="21"/>
      <c r="Q561" s="21"/>
      <c r="R561" s="21"/>
      <c r="S561" s="21"/>
    </row>
    <row r="562" spans="1:19" x14ac:dyDescent="0.2">
      <c r="A562" s="16" t="s">
        <v>67</v>
      </c>
      <c r="B562" s="16" t="s">
        <v>655</v>
      </c>
      <c r="C562" s="16" t="s">
        <v>993</v>
      </c>
      <c r="D562" s="16" t="s">
        <v>967</v>
      </c>
      <c r="E562" s="17" t="str">
        <f t="shared" si="68"/>
        <v>s36q342_is_meds_given</v>
      </c>
      <c r="F562" s="16" t="s">
        <v>2719</v>
      </c>
      <c r="G562" s="16" t="str">
        <f t="shared" si="67"/>
        <v>S36Q342: Ông/bà có sử dụng các loại thuốc trong bất cứ các lần gà ốm nào ở trên không?</v>
      </c>
      <c r="H562" s="16" t="s">
        <v>970</v>
      </c>
      <c r="I562" s="16"/>
      <c r="J562" s="16"/>
      <c r="K562" s="16" t="s">
        <v>40</v>
      </c>
      <c r="L562" s="16" t="s">
        <v>50</v>
      </c>
      <c r="M562" s="16" t="str">
        <f>CONCATENATE("selected(${",E561,"},'yes')")</f>
        <v>selected(${s36q341_is_sick},'yes')</v>
      </c>
      <c r="N562" s="16"/>
      <c r="O562" s="16"/>
      <c r="P562" s="16"/>
      <c r="Q562" s="16"/>
      <c r="R562" s="16"/>
      <c r="S562" s="16"/>
    </row>
    <row r="563" spans="1:19" ht="12.75" thickBot="1" x14ac:dyDescent="0.25">
      <c r="A563" s="16" t="s">
        <v>936</v>
      </c>
      <c r="B563" s="16" t="s">
        <v>655</v>
      </c>
      <c r="C563" s="16" t="s">
        <v>994</v>
      </c>
      <c r="D563" s="16" t="s">
        <v>969</v>
      </c>
      <c r="E563" s="17" t="str">
        <f t="shared" si="68"/>
        <v>s36q343_which_meds</v>
      </c>
      <c r="F563" s="16" t="s">
        <v>2720</v>
      </c>
      <c r="G563" s="16" t="str">
        <f t="shared" si="67"/>
        <v>S36Q343: Ông/bà sử dụng loại thuốc nào cho gà?</v>
      </c>
      <c r="H563" s="16"/>
      <c r="I563" s="16"/>
      <c r="J563" s="16"/>
      <c r="K563" s="16" t="s">
        <v>40</v>
      </c>
      <c r="L563" s="16"/>
      <c r="M563" s="16" t="str">
        <f>CONCATENATE("selected(${",E562,"},'yes')")</f>
        <v>selected(${s36q342_is_meds_given},'yes')</v>
      </c>
      <c r="N563" s="16"/>
      <c r="O563" s="16"/>
      <c r="P563" s="16"/>
      <c r="Q563" s="16"/>
      <c r="R563" s="16"/>
      <c r="S563" s="16"/>
    </row>
    <row r="564" spans="1:19" x14ac:dyDescent="0.2">
      <c r="A564" s="67" t="s">
        <v>619</v>
      </c>
      <c r="B564" s="68" t="s">
        <v>655</v>
      </c>
      <c r="C564" s="68" t="s">
        <v>995</v>
      </c>
      <c r="D564" s="68" t="s">
        <v>750</v>
      </c>
      <c r="E564" s="69" t="str">
        <f t="shared" si="68"/>
        <v>s36q344_antibiotics</v>
      </c>
      <c r="F564" s="68" t="s">
        <v>2721</v>
      </c>
      <c r="G564" s="68" t="str">
        <f t="shared" si="67"/>
        <v>S36Q344: Ông/bà đã dùng [Tên loại kháng sinh]nào?</v>
      </c>
      <c r="H564" s="68"/>
      <c r="I564" s="68"/>
      <c r="J564" s="68"/>
      <c r="K564" s="68" t="s">
        <v>40</v>
      </c>
      <c r="L564" s="68" t="s">
        <v>624</v>
      </c>
      <c r="M564" s="68" t="str">
        <f>CONCATENATE("selected(${",E563,"},'antibiotic')")</f>
        <v>selected(${s36q343_which_meds},'antibiotic')</v>
      </c>
      <c r="N564" s="68"/>
      <c r="O564" s="68"/>
      <c r="P564" s="68"/>
      <c r="Q564" s="68"/>
      <c r="R564" s="68"/>
      <c r="S564" s="70"/>
    </row>
    <row r="565" spans="1:19" x14ac:dyDescent="0.2">
      <c r="A565" s="71" t="s">
        <v>123</v>
      </c>
      <c r="B565" s="72" t="s">
        <v>655</v>
      </c>
      <c r="C565" s="72" t="s">
        <v>43</v>
      </c>
      <c r="D565" s="72" t="s">
        <v>996</v>
      </c>
      <c r="E565" s="73" t="str">
        <f t="shared" si="68"/>
        <v>s36_rpt_gen_med_abs</v>
      </c>
      <c r="F565" s="72" t="s">
        <v>2722</v>
      </c>
      <c r="G565" s="72" t="str">
        <f t="shared" si="67"/>
        <v>S36: Kháng sinh</v>
      </c>
      <c r="H565" s="72"/>
      <c r="I565" s="72"/>
      <c r="J565" s="72"/>
      <c r="K565" s="72"/>
      <c r="L565" s="72"/>
      <c r="M565" s="72" t="str">
        <f>CONCATENATE("selected(${",E563,"},'antibiotic')")</f>
        <v>selected(${s36q343_which_meds},'antibiotic')</v>
      </c>
      <c r="N565" s="72"/>
      <c r="O565" s="74" t="str">
        <f>CONCATENATE("count-selected(${",E564,"})")</f>
        <v>count-selected(${s36q344_antibiotics})</v>
      </c>
      <c r="P565" s="72"/>
      <c r="Q565" s="72"/>
      <c r="R565" s="72"/>
      <c r="S565" s="75"/>
    </row>
    <row r="566" spans="1:19" x14ac:dyDescent="0.2">
      <c r="A566" s="71" t="s">
        <v>127</v>
      </c>
      <c r="B566" s="72" t="s">
        <v>655</v>
      </c>
      <c r="C566" s="72" t="s">
        <v>128</v>
      </c>
      <c r="D566" s="72" t="s">
        <v>997</v>
      </c>
      <c r="E566" s="73" t="str">
        <f t="shared" si="68"/>
        <v>s36c1_cur_gen_med_ab</v>
      </c>
      <c r="F566" s="72"/>
      <c r="G566" s="72"/>
      <c r="H566" s="72"/>
      <c r="I566" s="72"/>
      <c r="J566" s="72"/>
      <c r="K566" s="72"/>
      <c r="L566" s="72"/>
      <c r="M566" s="72"/>
      <c r="N566" s="72"/>
      <c r="O566" s="72"/>
      <c r="P566" s="76" t="str">
        <f>CONCATENATE("selected-at(${",E564,"}, position(..)-1)")</f>
        <v>selected-at(${s36q344_antibiotics}, position(..)-1)</v>
      </c>
      <c r="Q566" s="72"/>
      <c r="R566" s="72"/>
      <c r="S566" s="75"/>
    </row>
    <row r="567" spans="1:19" x14ac:dyDescent="0.2">
      <c r="A567" s="71" t="s">
        <v>127</v>
      </c>
      <c r="B567" s="72" t="s">
        <v>655</v>
      </c>
      <c r="C567" s="72" t="s">
        <v>130</v>
      </c>
      <c r="D567" s="72" t="s">
        <v>998</v>
      </c>
      <c r="E567" s="73" t="str">
        <f t="shared" si="68"/>
        <v>s36c2_cur_gen_med_ab_name</v>
      </c>
      <c r="F567" s="72"/>
      <c r="G567" s="72"/>
      <c r="H567" s="72"/>
      <c r="I567" s="72"/>
      <c r="J567" s="72"/>
      <c r="K567" s="72"/>
      <c r="L567" s="72"/>
      <c r="M567" s="72"/>
      <c r="N567" s="72"/>
      <c r="O567" s="72"/>
      <c r="P567" s="76" t="str">
        <f>CONCATENATE("if(string-length(../",E566,") != 0,jr:choice-name(${",E566,"},'${",E564,"}'),'unknown')")</f>
        <v>if(string-length(../s36c1_cur_gen_med_ab) != 0,jr:choice-name(${s36c1_cur_gen_med_ab},'${s36q344_antibiotics}'),'unknown')</v>
      </c>
      <c r="Q567" s="72"/>
      <c r="R567" s="72"/>
      <c r="S567" s="75"/>
    </row>
    <row r="568" spans="1:19" x14ac:dyDescent="0.2">
      <c r="A568" s="71" t="s">
        <v>41</v>
      </c>
      <c r="B568" s="72" t="s">
        <v>655</v>
      </c>
      <c r="C568" s="72" t="s">
        <v>43</v>
      </c>
      <c r="D568" s="72" t="s">
        <v>999</v>
      </c>
      <c r="E568" s="73" t="str">
        <f t="shared" si="68"/>
        <v>s36_grp_gen_med_abs</v>
      </c>
      <c r="F568" s="72" t="s">
        <v>2413</v>
      </c>
      <c r="G568" s="72" t="str">
        <f>CONCATENATE(UPPER(B568),UPPER(C568),": ",F568)</f>
        <v>S36: Thông tin chi tiết về thuốc kháng sinh</v>
      </c>
      <c r="H568" s="72"/>
      <c r="I568" s="72"/>
      <c r="J568" s="72"/>
      <c r="K568" s="72"/>
      <c r="L568" s="72"/>
      <c r="M568" s="72"/>
      <c r="N568" s="72"/>
      <c r="O568" s="74"/>
      <c r="P568" s="72"/>
      <c r="Q568" s="72"/>
      <c r="R568" s="72"/>
      <c r="S568" s="75"/>
    </row>
    <row r="569" spans="1:19" x14ac:dyDescent="0.2">
      <c r="A569" s="72" t="s">
        <v>628</v>
      </c>
      <c r="B569" s="72" t="s">
        <v>655</v>
      </c>
      <c r="C569" s="72" t="s">
        <v>1000</v>
      </c>
      <c r="D569" s="72" t="s">
        <v>630</v>
      </c>
      <c r="E569" s="73" t="str">
        <f t="shared" si="68"/>
        <v>s36q345_how_ab_combined</v>
      </c>
      <c r="F569" s="72" t="str">
        <f>CONCATENATE("Loại &lt;span style='color:blue;'&gt;${",E567,"}&lt;/span&gt; là ở dạng đơn hay ở dạng hỗn hợp với các loại kháng sinh khác?")</f>
        <v>Loại &lt;span style='color:blue;'&gt;${s36c2_cur_gen_med_ab_name}&lt;/span&gt; là ở dạng đơn hay ở dạng hỗn hợp với các loại kháng sinh khác?</v>
      </c>
      <c r="G569" s="72" t="str">
        <f>CONCATENATE(UPPER(B569),UPPER(C569),": ",F569)</f>
        <v>S36Q345: Loại &lt;span style='color:blue;'&gt;${s36c2_cur_gen_med_ab_name}&lt;/span&gt; là ở dạng đơn hay ở dạng hỗn hợp với các loại kháng sinh khác?</v>
      </c>
      <c r="H569" s="72"/>
      <c r="I569" s="72"/>
      <c r="J569" s="72"/>
      <c r="K569" s="72" t="s">
        <v>40</v>
      </c>
      <c r="L569" s="72" t="s">
        <v>50</v>
      </c>
      <c r="M569" s="72"/>
      <c r="N569" s="72"/>
      <c r="O569" s="72"/>
      <c r="P569" s="72"/>
      <c r="Q569" s="72"/>
      <c r="R569" s="72"/>
      <c r="S569" s="72"/>
    </row>
    <row r="570" spans="1:19" x14ac:dyDescent="0.2">
      <c r="A570" s="72" t="s">
        <v>619</v>
      </c>
      <c r="B570" s="72" t="s">
        <v>655</v>
      </c>
      <c r="C570" s="72" t="s">
        <v>1001</v>
      </c>
      <c r="D570" s="72" t="s">
        <v>632</v>
      </c>
      <c r="E570" s="73" t="str">
        <f t="shared" si="68"/>
        <v>s36q346_ab_combined</v>
      </c>
      <c r="F570" s="72" t="str">
        <f>CONCATENATE("Chọn loại kháng sinh phối/hỗn hợp cùng với &lt;span style='color:blue;'&gt;${",E567,"}&lt;/span&gt;")</f>
        <v>Chọn loại kháng sinh phối/hỗn hợp cùng với &lt;span style='color:blue;'&gt;${s36c2_cur_gen_med_ab_name}&lt;/span&gt;</v>
      </c>
      <c r="G570" s="72" t="str">
        <f>CONCATENATE(UPPER(B570),UPPER(C570),": ",F570)</f>
        <v>S36Q346: Chọn loại kháng sinh phối/hỗn hợp cùng với &lt;span style='color:blue;'&gt;${s36c2_cur_gen_med_ab_name}&lt;/span&gt;</v>
      </c>
      <c r="H570" s="72"/>
      <c r="I570" s="72"/>
      <c r="J570" s="72"/>
      <c r="K570" s="72" t="s">
        <v>40</v>
      </c>
      <c r="L570" s="72"/>
      <c r="M570" s="72" t="str">
        <f>CONCATENATE("selected(${",E569,"},'combined')")</f>
        <v>selected(${s36q345_how_ab_combined},'combined')</v>
      </c>
      <c r="N570" s="72"/>
      <c r="O570" s="72"/>
      <c r="P570" s="72"/>
      <c r="Q570" s="72"/>
      <c r="R570" s="72"/>
      <c r="S570" s="72"/>
    </row>
    <row r="571" spans="1:19" x14ac:dyDescent="0.2">
      <c r="A571" s="71" t="s">
        <v>642</v>
      </c>
      <c r="B571" s="72" t="s">
        <v>655</v>
      </c>
      <c r="C571" s="72" t="s">
        <v>1002</v>
      </c>
      <c r="D571" s="72" t="s">
        <v>644</v>
      </c>
      <c r="E571" s="73" t="str">
        <f t="shared" ref="E571:E576" si="69">CONCATENATE(B571,C571,"_",D571)</f>
        <v>s36q347_how_admin</v>
      </c>
      <c r="F571" s="72" t="str">
        <f>CONCATENATE("Loại &lt;span style='color:blue;'&gt;${",E567,"}&lt;/span&gt; được dùng cho gà theo đường nào?")</f>
        <v>Loại &lt;span style='color:blue;'&gt;${s36c2_cur_gen_med_ab_name}&lt;/span&gt; được dùng cho gà theo đường nào?</v>
      </c>
      <c r="G571" s="72" t="str">
        <f t="shared" ref="G571:G576" si="70">CONCATENATE(UPPER(B571),UPPER(C571),": ",F571)</f>
        <v>S36Q347: Loại &lt;span style='color:blue;'&gt;${s36c2_cur_gen_med_ab_name}&lt;/span&gt; được dùng cho gà theo đường nào?</v>
      </c>
      <c r="H571" s="72"/>
      <c r="I571" s="72"/>
      <c r="J571" s="72"/>
      <c r="K571" s="72" t="s">
        <v>40</v>
      </c>
      <c r="L571" s="72"/>
      <c r="M571" s="72"/>
      <c r="N571" s="72"/>
      <c r="O571" s="72"/>
      <c r="P571" s="72"/>
      <c r="Q571" s="72"/>
      <c r="R571" s="72"/>
      <c r="S571" s="75"/>
    </row>
    <row r="572" spans="1:19" x14ac:dyDescent="0.2">
      <c r="A572" s="71" t="s">
        <v>636</v>
      </c>
      <c r="B572" s="72" t="s">
        <v>655</v>
      </c>
      <c r="C572" s="72" t="s">
        <v>1003</v>
      </c>
      <c r="D572" s="72" t="s">
        <v>638</v>
      </c>
      <c r="E572" s="73" t="str">
        <f t="shared" si="69"/>
        <v>s36q348_use_reason</v>
      </c>
      <c r="F572" s="72" t="str">
        <f>CONCATENATE("Vì sao ông/bà quyết định sử dụng loại  &lt;span style='color:blue;'&gt;${",E567,"}&lt;/span&gt; này?")</f>
        <v>Vì sao ông/bà quyết định sử dụng loại  &lt;span style='color:blue;'&gt;${s36c2_cur_gen_med_ab_name}&lt;/span&gt; này?</v>
      </c>
      <c r="G572" s="72" t="str">
        <f t="shared" si="70"/>
        <v>S36Q348: Vì sao ông/bà quyết định sử dụng loại  &lt;span style='color:blue;'&gt;${s36c2_cur_gen_med_ab_name}&lt;/span&gt; này?</v>
      </c>
      <c r="H572" s="72"/>
      <c r="I572" s="72"/>
      <c r="J572" s="72"/>
      <c r="K572" s="72" t="s">
        <v>40</v>
      </c>
      <c r="L572" s="72"/>
      <c r="M572" s="72"/>
      <c r="N572" s="72"/>
      <c r="O572" s="72"/>
      <c r="P572" s="72"/>
      <c r="Q572" s="72"/>
      <c r="R572" s="72"/>
      <c r="S572" s="75"/>
    </row>
    <row r="573" spans="1:19" x14ac:dyDescent="0.2">
      <c r="A573" s="71" t="s">
        <v>639</v>
      </c>
      <c r="B573" s="72" t="s">
        <v>655</v>
      </c>
      <c r="C573" s="72" t="s">
        <v>1004</v>
      </c>
      <c r="D573" s="72" t="s">
        <v>641</v>
      </c>
      <c r="E573" s="73" t="str">
        <f t="shared" si="69"/>
        <v>s36q349_source</v>
      </c>
      <c r="F573" s="72" t="str">
        <f>CONCATENATE("Ông/bà mua &lt;span style='color:blue;'&gt;${",E567,"}&lt;/span&gt; ở đâu?")</f>
        <v>Ông/bà mua &lt;span style='color:blue;'&gt;${s36c2_cur_gen_med_ab_name}&lt;/span&gt; ở đâu?</v>
      </c>
      <c r="G573" s="72" t="str">
        <f t="shared" si="70"/>
        <v>S36Q349: Ông/bà mua &lt;span style='color:blue;'&gt;${s36c2_cur_gen_med_ab_name}&lt;/span&gt; ở đâu?</v>
      </c>
      <c r="H573" s="72"/>
      <c r="I573" s="72"/>
      <c r="J573" s="72"/>
      <c r="K573" s="72" t="s">
        <v>40</v>
      </c>
      <c r="L573" s="72"/>
      <c r="M573" s="72"/>
      <c r="N573" s="72"/>
      <c r="O573" s="72"/>
      <c r="P573" s="72"/>
      <c r="Q573" s="72"/>
      <c r="R573" s="72"/>
      <c r="S573" s="75"/>
    </row>
    <row r="574" spans="1:19" x14ac:dyDescent="0.2">
      <c r="A574" s="71" t="s">
        <v>645</v>
      </c>
      <c r="B574" s="72" t="s">
        <v>655</v>
      </c>
      <c r="C574" s="72" t="s">
        <v>1005</v>
      </c>
      <c r="D574" s="72" t="s">
        <v>647</v>
      </c>
      <c r="E574" s="73" t="str">
        <f t="shared" si="69"/>
        <v>s36q350_who_admin</v>
      </c>
      <c r="F574" s="72" t="str">
        <f>CONCATENATE("Ai là người dùng/trộn/tiêm  &lt;span style='color:blue;'&gt;${",E567,"}&lt;/span&gt; đó cho đàn gà?")</f>
        <v>Ai là người dùng/trộn/tiêm  &lt;span style='color:blue;'&gt;${s36c2_cur_gen_med_ab_name}&lt;/span&gt; đó cho đàn gà?</v>
      </c>
      <c r="G574" s="72" t="str">
        <f t="shared" si="70"/>
        <v>S36Q350: Ai là người dùng/trộn/tiêm  &lt;span style='color:blue;'&gt;${s36c2_cur_gen_med_ab_name}&lt;/span&gt; đó cho đàn gà?</v>
      </c>
      <c r="H574" s="72"/>
      <c r="I574" s="72"/>
      <c r="J574" s="72"/>
      <c r="K574" s="72" t="s">
        <v>40</v>
      </c>
      <c r="L574" s="72"/>
      <c r="M574" s="72"/>
      <c r="N574" s="72"/>
      <c r="O574" s="72"/>
      <c r="P574" s="72"/>
      <c r="Q574" s="72"/>
      <c r="R574" s="72"/>
      <c r="S574" s="75"/>
    </row>
    <row r="575" spans="1:19" x14ac:dyDescent="0.2">
      <c r="A575" s="71" t="s">
        <v>648</v>
      </c>
      <c r="B575" s="72" t="s">
        <v>655</v>
      </c>
      <c r="C575" s="72" t="s">
        <v>1006</v>
      </c>
      <c r="D575" s="72" t="s">
        <v>650</v>
      </c>
      <c r="E575" s="73" t="str">
        <f t="shared" si="69"/>
        <v>s36q351_how_knowhow</v>
      </c>
      <c r="F575" s="72" t="str">
        <f>CONCATENATE("Làm thế nào ông/bà hay họ biết cách sử dụng loại  &lt;span style='color:blue;'&gt;${",E567,"}&lt;/span&gt; đó?")</f>
        <v>Làm thế nào ông/bà hay họ biết cách sử dụng loại  &lt;span style='color:blue;'&gt;${s36c2_cur_gen_med_ab_name}&lt;/span&gt; đó?</v>
      </c>
      <c r="G575" s="72" t="str">
        <f t="shared" si="70"/>
        <v>S36Q351: Làm thế nào ông/bà hay họ biết cách sử dụng loại  &lt;span style='color:blue;'&gt;${s36c2_cur_gen_med_ab_name}&lt;/span&gt; đó?</v>
      </c>
      <c r="H575" s="72"/>
      <c r="I575" s="72"/>
      <c r="J575" s="72"/>
      <c r="K575" s="72" t="s">
        <v>40</v>
      </c>
      <c r="L575" s="72"/>
      <c r="M575" s="72" t="str">
        <f>CONCATENATE("selected(${",E574,"},'myself') or selected(${",E574,"},'farm_worker') or selected(${",E574,"},'friends')")</f>
        <v>selected(${s36q350_who_admin},'myself') or selected(${s36q350_who_admin},'farm_worker') or selected(${s36q350_who_admin},'friends')</v>
      </c>
      <c r="N575" s="72"/>
      <c r="O575" s="72"/>
      <c r="P575" s="72"/>
      <c r="Q575" s="72"/>
      <c r="R575" s="72"/>
      <c r="S575" s="75"/>
    </row>
    <row r="576" spans="1:19" x14ac:dyDescent="0.2">
      <c r="A576" s="71" t="s">
        <v>88</v>
      </c>
      <c r="B576" s="72" t="s">
        <v>655</v>
      </c>
      <c r="C576" s="72" t="s">
        <v>1007</v>
      </c>
      <c r="D576" s="72" t="s">
        <v>652</v>
      </c>
      <c r="E576" s="73" t="str">
        <f t="shared" si="69"/>
        <v>s36q352_no_occassions</v>
      </c>
      <c r="F576" s="72" t="str">
        <f>CONCATENATE("Ông/bà dùng&lt;span style='color:blue;'&gt;${",E567,"}&lt;/span&gt;  bao nhiêu lần trong lứa nuôi gần đây nhất?")</f>
        <v>Ông/bà dùng&lt;span style='color:blue;'&gt;${s36c2_cur_gen_med_ab_name}&lt;/span&gt;  bao nhiêu lần trong lứa nuôi gần đây nhất?</v>
      </c>
      <c r="G576" s="72" t="str">
        <f t="shared" si="70"/>
        <v>S36Q352: Ông/bà dùng&lt;span style='color:blue;'&gt;${s36c2_cur_gen_med_ab_name}&lt;/span&gt;  bao nhiêu lần trong lứa nuôi gần đây nhất?</v>
      </c>
      <c r="H576" s="72"/>
      <c r="I576" s="72" t="s">
        <v>184</v>
      </c>
      <c r="J576" s="72"/>
      <c r="K576" s="72" t="s">
        <v>40</v>
      </c>
      <c r="L576" s="72"/>
      <c r="M576" s="72"/>
      <c r="N576" s="72"/>
      <c r="O576" s="72"/>
      <c r="P576" s="72"/>
      <c r="Q576" s="72"/>
      <c r="R576" s="72"/>
      <c r="S576" s="75"/>
    </row>
    <row r="577" spans="1:19" x14ac:dyDescent="0.2">
      <c r="A577" s="62" t="s">
        <v>74</v>
      </c>
      <c r="C577" s="4" t="s">
        <v>43</v>
      </c>
      <c r="S577" s="63"/>
    </row>
    <row r="578" spans="1:19" x14ac:dyDescent="0.2">
      <c r="A578" s="71" t="s">
        <v>123</v>
      </c>
      <c r="B578" s="72" t="s">
        <v>655</v>
      </c>
      <c r="C578" s="72" t="s">
        <v>43</v>
      </c>
      <c r="D578" s="72" t="s">
        <v>1008</v>
      </c>
      <c r="E578" s="73" t="str">
        <f>CONCATENATE(B578,C578,"_",D578)</f>
        <v>s36_rpt_gen_med_ab_occ</v>
      </c>
      <c r="F578" s="72" t="s">
        <v>654</v>
      </c>
      <c r="G578" s="72" t="str">
        <f>CONCATENATE(UPPER(B578),UPPER(C578),": ",F578)</f>
        <v>S36: Chi tiết các lần dùng</v>
      </c>
      <c r="H578" s="72"/>
      <c r="I578" s="72"/>
      <c r="J578" s="72"/>
      <c r="K578" s="72"/>
      <c r="L578" s="72"/>
      <c r="M578" s="72"/>
      <c r="N578" s="72"/>
      <c r="O578" s="72" t="str">
        <f>CONCATENATE("${",E576,"}")</f>
        <v>${s36q352_no_occassions}</v>
      </c>
      <c r="P578" s="72"/>
      <c r="Q578" s="72"/>
      <c r="R578" s="72"/>
      <c r="S578" s="75"/>
    </row>
    <row r="579" spans="1:19" x14ac:dyDescent="0.2">
      <c r="A579" s="71" t="s">
        <v>127</v>
      </c>
      <c r="B579" s="72" t="s">
        <v>655</v>
      </c>
      <c r="C579" s="72" t="s">
        <v>128</v>
      </c>
      <c r="D579" s="72" t="s">
        <v>1009</v>
      </c>
      <c r="E579" s="73" t="str">
        <f>CONCATENATE(B579,C579,"_",D579)</f>
        <v>s36c1_cur_rpt_gen_med_ab_name</v>
      </c>
      <c r="F579" s="72"/>
      <c r="G579" s="72"/>
      <c r="H579" s="72"/>
      <c r="I579" s="72"/>
      <c r="J579" s="72"/>
      <c r="K579" s="72"/>
      <c r="L579" s="72"/>
      <c r="M579" s="72"/>
      <c r="N579" s="72"/>
      <c r="O579" s="72"/>
      <c r="P579" s="72" t="str">
        <f>CONCATENATE("${",E567,"}")</f>
        <v>${s36c2_cur_gen_med_ab_name}</v>
      </c>
      <c r="Q579" s="72"/>
      <c r="R579" s="72"/>
      <c r="S579" s="75"/>
    </row>
    <row r="580" spans="1:19" x14ac:dyDescent="0.2">
      <c r="A580" s="71" t="s">
        <v>127</v>
      </c>
      <c r="B580" s="72" t="s">
        <v>655</v>
      </c>
      <c r="C580" s="72" t="s">
        <v>130</v>
      </c>
      <c r="D580" s="72" t="s">
        <v>1010</v>
      </c>
      <c r="E580" s="73" t="str">
        <f>CONCATENATE(B580,C580,"_",D580)</f>
        <v>s36c2_cur_gen_med_ab_occassion</v>
      </c>
      <c r="F580" s="72"/>
      <c r="G580" s="72"/>
      <c r="H580" s="72"/>
      <c r="I580" s="72"/>
      <c r="J580" s="72"/>
      <c r="K580" s="72"/>
      <c r="L580" s="72"/>
      <c r="M580" s="72"/>
      <c r="N580" s="72"/>
      <c r="O580" s="72"/>
      <c r="P580" s="72" t="s">
        <v>658</v>
      </c>
      <c r="Q580" s="72"/>
      <c r="R580" s="72"/>
      <c r="S580" s="75"/>
    </row>
    <row r="581" spans="1:19" x14ac:dyDescent="0.2">
      <c r="A581" s="71" t="s">
        <v>88</v>
      </c>
      <c r="B581" s="72" t="s">
        <v>655</v>
      </c>
      <c r="C581" s="72" t="s">
        <v>1011</v>
      </c>
      <c r="D581" s="72" t="s">
        <v>660</v>
      </c>
      <c r="E581" s="73" t="str">
        <f>CONCATENATE(B581,C581,"_",D581)</f>
        <v>s36q353_birds_age</v>
      </c>
      <c r="F581" s="72" t="str">
        <f>CONCATENATE("Ông/bà dùng &lt;span style='color:blue;'&gt;${",E579,"}&lt;/span&gt; the &lt;span style='color:blue;'&gt;${",E580,"}&lt;/span&gt; cho đàn gà của mình vào giai đoạn tuổi nào? (Lưu ý: tính theo tuần tuổi)")</f>
        <v>Ông/bà dùng &lt;span style='color:blue;'&gt;${s36c1_cur_rpt_gen_med_ab_name}&lt;/span&gt; the &lt;span style='color:blue;'&gt;${s36c2_cur_gen_med_ab_occassion}&lt;/span&gt; cho đàn gà của mình vào giai đoạn tuổi nào? (Lưu ý: tính theo tuần tuổi)</v>
      </c>
      <c r="G581" s="72" t="str">
        <f>CONCATENATE(UPPER(B581),UPPER(C581),": ",F581)</f>
        <v>S36Q353: Ông/bà dùng &lt;span style='color:blue;'&gt;${s36c1_cur_rpt_gen_med_ab_name}&lt;/span&gt; the &lt;span style='color:blue;'&gt;${s36c2_cur_gen_med_ab_occassion}&lt;/span&gt; cho đàn gà của mình vào giai đoạn tuổi nào? (Lưu ý: tính theo tuần tuổi)</v>
      </c>
      <c r="H581" s="72" t="s">
        <v>2765</v>
      </c>
      <c r="I581" s="72" t="s">
        <v>106</v>
      </c>
      <c r="J581" s="72"/>
      <c r="K581" s="72" t="s">
        <v>40</v>
      </c>
      <c r="L581" s="72"/>
      <c r="M581" s="72"/>
      <c r="N581" s="72"/>
      <c r="O581" s="72"/>
      <c r="P581" s="72"/>
      <c r="Q581" s="72"/>
      <c r="R581" s="72"/>
      <c r="S581" s="75"/>
    </row>
    <row r="582" spans="1:19" x14ac:dyDescent="0.2">
      <c r="A582" s="71" t="s">
        <v>88</v>
      </c>
      <c r="B582" s="72" t="s">
        <v>655</v>
      </c>
      <c r="C582" s="72" t="s">
        <v>1012</v>
      </c>
      <c r="D582" s="72" t="s">
        <v>598</v>
      </c>
      <c r="E582" s="73" t="str">
        <f>CONCATENATE(B582,C582,"_",D582)</f>
        <v>s36q354_cost</v>
      </c>
      <c r="F582" s="72" t="str">
        <f>CONCATENATE("Chi phí cho các loại kháng sinh &lt;span style='color:blue;'&gt;${",E579,"}&lt;/span&gt; lần dùng đó &lt;span style='color:blue;'&gt;${",E580,"}&lt;/span&gt; là khoảng bao nhiêu? (Lưu ý: tính bằng nghìn VNĐ)")</f>
        <v>Chi phí cho các loại kháng sinh &lt;span style='color:blue;'&gt;${s36c1_cur_rpt_gen_med_ab_name}&lt;/span&gt; lần dùng đó &lt;span style='color:blue;'&gt;${s36c2_cur_gen_med_ab_occassion}&lt;/span&gt; là khoảng bao nhiêu? (Lưu ý: tính bằng nghìn VNĐ)</v>
      </c>
      <c r="G582" s="72" t="str">
        <f>CONCATENATE(UPPER(B582),UPPER(C582),": ",F582)</f>
        <v>S36Q354: Chi phí cho các loại kháng sinh &lt;span style='color:blue;'&gt;${s36c1_cur_rpt_gen_med_ab_name}&lt;/span&gt; lần dùng đó &lt;span style='color:blue;'&gt;${s36c2_cur_gen_med_ab_occassion}&lt;/span&gt; là khoảng bao nhiêu? (Lưu ý: tính bằng nghìn VNĐ)</v>
      </c>
      <c r="H582" s="72" t="s">
        <v>2617</v>
      </c>
      <c r="I582" s="72" t="s">
        <v>106</v>
      </c>
      <c r="J582" s="72"/>
      <c r="K582" s="72" t="s">
        <v>40</v>
      </c>
      <c r="L582" s="72"/>
      <c r="M582" s="72"/>
      <c r="N582" s="72"/>
      <c r="O582" s="72"/>
      <c r="P582" s="72"/>
      <c r="Q582" s="72"/>
      <c r="R582" s="72"/>
      <c r="S582" s="75"/>
    </row>
    <row r="583" spans="1:19" x14ac:dyDescent="0.2">
      <c r="A583" s="62" t="s">
        <v>147</v>
      </c>
      <c r="C583" s="4" t="s">
        <v>43</v>
      </c>
      <c r="S583" s="63"/>
    </row>
    <row r="584" spans="1:19" ht="12.75" thickBot="1" x14ac:dyDescent="0.25">
      <c r="A584" s="64" t="s">
        <v>147</v>
      </c>
      <c r="B584" s="65"/>
      <c r="C584" s="65" t="s">
        <v>43</v>
      </c>
      <c r="D584" s="65"/>
      <c r="E584" s="65"/>
      <c r="F584" s="65"/>
      <c r="G584" s="65"/>
      <c r="H584" s="65"/>
      <c r="I584" s="65"/>
      <c r="J584" s="65"/>
      <c r="K584" s="65"/>
      <c r="L584" s="65"/>
      <c r="M584" s="65"/>
      <c r="N584" s="65"/>
      <c r="O584" s="65"/>
      <c r="P584" s="65"/>
      <c r="Q584" s="65"/>
      <c r="R584" s="65"/>
      <c r="S584" s="66"/>
    </row>
    <row r="585" spans="1:19" x14ac:dyDescent="0.2">
      <c r="A585" s="52" t="s">
        <v>662</v>
      </c>
      <c r="B585" s="53" t="s">
        <v>655</v>
      </c>
      <c r="C585" s="53" t="s">
        <v>1013</v>
      </c>
      <c r="D585" s="53" t="s">
        <v>664</v>
      </c>
      <c r="E585" s="54" t="str">
        <f>CONCATENATE(B585,C585,"_",D585)</f>
        <v>s36q355_vitamins</v>
      </c>
      <c r="F585" s="53" t="s">
        <v>2723</v>
      </c>
      <c r="G585" s="53" t="str">
        <f>CONCATENATE(UPPER(B585),UPPER(C585),": ",F585)</f>
        <v>S36Q355: Ông/bà có bổ sung loại vitamin nào không?</v>
      </c>
      <c r="H585" s="53"/>
      <c r="I585" s="53"/>
      <c r="J585" s="53"/>
      <c r="K585" s="53" t="s">
        <v>40</v>
      </c>
      <c r="L585" s="53" t="s">
        <v>624</v>
      </c>
      <c r="M585" s="53" t="str">
        <f>CONCATENATE("selected(${",E563,"},'vitamins')")</f>
        <v>selected(${s36q343_which_meds},'vitamins')</v>
      </c>
      <c r="N585" s="53"/>
      <c r="O585" s="53"/>
      <c r="P585" s="53"/>
      <c r="Q585" s="53"/>
      <c r="R585" s="53"/>
      <c r="S585" s="55"/>
    </row>
    <row r="586" spans="1:19" x14ac:dyDescent="0.2">
      <c r="A586" s="56" t="s">
        <v>123</v>
      </c>
      <c r="B586" s="57" t="s">
        <v>655</v>
      </c>
      <c r="C586" s="57" t="s">
        <v>43</v>
      </c>
      <c r="D586" s="57" t="s">
        <v>1014</v>
      </c>
      <c r="E586" s="58" t="str">
        <f>CONCATENATE(B586,C586,"_",D586)</f>
        <v>s36_rpt_gen_med_vitamins</v>
      </c>
      <c r="F586" s="57" t="s">
        <v>2419</v>
      </c>
      <c r="G586" s="57" t="str">
        <f>CONCATENATE(UPPER(B586),UPPER(C586),": ",F586)</f>
        <v>S36: Vitamin</v>
      </c>
      <c r="H586" s="57"/>
      <c r="I586" s="57"/>
      <c r="J586" s="57"/>
      <c r="K586" s="57"/>
      <c r="L586" s="57"/>
      <c r="M586" s="57" t="str">
        <f>CONCATENATE("selected(${",E563,"},'vitamins')")</f>
        <v>selected(${s36q343_which_meds},'vitamins')</v>
      </c>
      <c r="N586" s="57"/>
      <c r="O586" s="59" t="str">
        <f>CONCATENATE("count-selected(${",E585,"})")</f>
        <v>count-selected(${s36q355_vitamins})</v>
      </c>
      <c r="P586" s="57"/>
      <c r="Q586" s="57"/>
      <c r="R586" s="57"/>
      <c r="S586" s="60"/>
    </row>
    <row r="587" spans="1:19" x14ac:dyDescent="0.2">
      <c r="A587" s="56" t="s">
        <v>127</v>
      </c>
      <c r="B587" s="57" t="s">
        <v>655</v>
      </c>
      <c r="C587" s="57" t="s">
        <v>128</v>
      </c>
      <c r="D587" s="57" t="s">
        <v>1015</v>
      </c>
      <c r="E587" s="58" t="str">
        <f>CONCATENATE(B587,C587,"_",D587)</f>
        <v>s36c1_cur_gen_med_vitamin</v>
      </c>
      <c r="F587" s="57"/>
      <c r="G587" s="57"/>
      <c r="H587" s="57"/>
      <c r="I587" s="57"/>
      <c r="J587" s="57"/>
      <c r="K587" s="57"/>
      <c r="L587" s="57"/>
      <c r="M587" s="57"/>
      <c r="N587" s="57"/>
      <c r="O587" s="57"/>
      <c r="P587" s="61" t="str">
        <f>CONCATENATE("selected-at(${",E585,"}, position(..)-1)")</f>
        <v>selected-at(${s36q355_vitamins}, position(..)-1)</v>
      </c>
      <c r="Q587" s="57"/>
      <c r="R587" s="57"/>
      <c r="S587" s="60"/>
    </row>
    <row r="588" spans="1:19" x14ac:dyDescent="0.2">
      <c r="A588" s="56" t="s">
        <v>127</v>
      </c>
      <c r="B588" s="57" t="s">
        <v>655</v>
      </c>
      <c r="C588" s="57" t="s">
        <v>130</v>
      </c>
      <c r="D588" s="57" t="s">
        <v>1016</v>
      </c>
      <c r="E588" s="58" t="str">
        <f>CONCATENATE(B588,C588,"_",D588)</f>
        <v>s36c2_cur_gen_med_vitamin_name</v>
      </c>
      <c r="F588" s="57"/>
      <c r="G588" s="57"/>
      <c r="H588" s="57"/>
      <c r="I588" s="57"/>
      <c r="J588" s="57"/>
      <c r="K588" s="57"/>
      <c r="L588" s="57"/>
      <c r="M588" s="57"/>
      <c r="N588" s="57"/>
      <c r="O588" s="57"/>
      <c r="P588" s="61" t="str">
        <f>CONCATENATE("if(string-length(../",E587,") != 0,jr:choice-name(${",E587,"},'${",E585,"}'),'unknown')")</f>
        <v>if(string-length(../s36c1_cur_gen_med_vitamin) != 0,jr:choice-name(${s36c1_cur_gen_med_vitamin},'${s36q355_vitamins}'),'unknown')</v>
      </c>
      <c r="Q588" s="57"/>
      <c r="R588" s="57"/>
      <c r="S588" s="60"/>
    </row>
    <row r="589" spans="1:19" x14ac:dyDescent="0.2">
      <c r="A589" s="56" t="s">
        <v>41</v>
      </c>
      <c r="B589" s="57" t="s">
        <v>655</v>
      </c>
      <c r="C589" s="57" t="s">
        <v>43</v>
      </c>
      <c r="D589" s="57" t="s">
        <v>1017</v>
      </c>
      <c r="E589" s="58" t="str">
        <f>CONCATENATE(B589,C589,"_",D589)</f>
        <v>s36_grp_gen_med_vitamin</v>
      </c>
      <c r="F589" s="57" t="s">
        <v>667</v>
      </c>
      <c r="G589" s="57" t="str">
        <f>CONCATENATE(UPPER(B589),UPPER(C589),": ",F589)</f>
        <v>S36: Thông tin chi tiết về Vitamin</v>
      </c>
      <c r="H589" s="57"/>
      <c r="I589" s="57"/>
      <c r="J589" s="57"/>
      <c r="K589" s="57"/>
      <c r="L589" s="57"/>
      <c r="M589" s="57"/>
      <c r="N589" s="57"/>
      <c r="O589" s="59"/>
      <c r="P589" s="57"/>
      <c r="Q589" s="57"/>
      <c r="R589" s="57"/>
      <c r="S589" s="60"/>
    </row>
    <row r="590" spans="1:19" x14ac:dyDescent="0.2">
      <c r="A590" s="56" t="s">
        <v>642</v>
      </c>
      <c r="B590" s="57" t="s">
        <v>655</v>
      </c>
      <c r="C590" s="57" t="s">
        <v>1018</v>
      </c>
      <c r="D590" s="57" t="s">
        <v>644</v>
      </c>
      <c r="E590" s="58" t="str">
        <f t="shared" ref="E590:E595" si="71">CONCATENATE(B590,C590,"_",D590)</f>
        <v>s36q356_how_admin</v>
      </c>
      <c r="F590" s="57" t="str">
        <f>CONCATENATE("Ông/bà bổ sung vitamin cho gà bằng cách nào &lt;span style='color:blue;'&gt;${",E588,"}&lt;/span&gt;?")</f>
        <v>Ông/bà bổ sung vitamin cho gà bằng cách nào &lt;span style='color:blue;'&gt;${s36c2_cur_gen_med_vitamin_name}&lt;/span&gt;?</v>
      </c>
      <c r="G590" s="57" t="str">
        <f t="shared" ref="G590:G595" si="72">CONCATENATE(UPPER(B590),UPPER(C590),": ",F590)</f>
        <v>S36Q356: Ông/bà bổ sung vitamin cho gà bằng cách nào &lt;span style='color:blue;'&gt;${s36c2_cur_gen_med_vitamin_name}&lt;/span&gt;?</v>
      </c>
      <c r="H590" s="57"/>
      <c r="I590" s="57"/>
      <c r="J590" s="57"/>
      <c r="K590" s="57" t="s">
        <v>40</v>
      </c>
      <c r="L590" s="57"/>
      <c r="M590" s="57"/>
      <c r="N590" s="57"/>
      <c r="O590" s="57"/>
      <c r="P590" s="57"/>
      <c r="Q590" s="57"/>
      <c r="R590" s="57"/>
      <c r="S590" s="60"/>
    </row>
    <row r="591" spans="1:19" x14ac:dyDescent="0.2">
      <c r="A591" s="56" t="s">
        <v>636</v>
      </c>
      <c r="B591" s="57" t="s">
        <v>655</v>
      </c>
      <c r="C591" s="57" t="s">
        <v>1019</v>
      </c>
      <c r="D591" s="57" t="s">
        <v>638</v>
      </c>
      <c r="E591" s="58" t="str">
        <f t="shared" si="71"/>
        <v>s36q357_use_reason</v>
      </c>
      <c r="F591" s="57" t="str">
        <f>CONCATENATE("Vì sao ông/bà quyết định sử dụng loại  &lt;span style='color:blue;'&gt;${",E588,"}&lt;/span&gt; này?")</f>
        <v>Vì sao ông/bà quyết định sử dụng loại  &lt;span style='color:blue;'&gt;${s36c2_cur_gen_med_vitamin_name}&lt;/span&gt; này?</v>
      </c>
      <c r="G591" s="57" t="str">
        <f t="shared" si="72"/>
        <v>S36Q357: Vì sao ông/bà quyết định sử dụng loại  &lt;span style='color:blue;'&gt;${s36c2_cur_gen_med_vitamin_name}&lt;/span&gt; này?</v>
      </c>
      <c r="H591" s="57"/>
      <c r="I591" s="57"/>
      <c r="J591" s="57"/>
      <c r="K591" s="57" t="s">
        <v>40</v>
      </c>
      <c r="L591" s="57"/>
      <c r="M591" s="57"/>
      <c r="N591" s="57"/>
      <c r="O591" s="57"/>
      <c r="P591" s="57"/>
      <c r="Q591" s="57"/>
      <c r="R591" s="57"/>
      <c r="S591" s="60"/>
    </row>
    <row r="592" spans="1:19" x14ac:dyDescent="0.2">
      <c r="A592" s="56" t="s">
        <v>639</v>
      </c>
      <c r="B592" s="57" t="s">
        <v>655</v>
      </c>
      <c r="C592" s="57" t="s">
        <v>1020</v>
      </c>
      <c r="D592" s="57" t="s">
        <v>641</v>
      </c>
      <c r="E592" s="58" t="str">
        <f t="shared" si="71"/>
        <v>s36q358_source</v>
      </c>
      <c r="F592" s="57" t="str">
        <f>CONCATENATE("Ông/bà mua &lt;span style='color:blue;'&gt;${",E588,"}&lt;/span&gt; đó ở đâu?")</f>
        <v>Ông/bà mua &lt;span style='color:blue;'&gt;${s36c2_cur_gen_med_vitamin_name}&lt;/span&gt; đó ở đâu?</v>
      </c>
      <c r="G592" s="57" t="str">
        <f t="shared" si="72"/>
        <v>S36Q358: Ông/bà mua &lt;span style='color:blue;'&gt;${s36c2_cur_gen_med_vitamin_name}&lt;/span&gt; đó ở đâu?</v>
      </c>
      <c r="H592" s="57"/>
      <c r="I592" s="57"/>
      <c r="J592" s="57"/>
      <c r="K592" s="57" t="s">
        <v>40</v>
      </c>
      <c r="L592" s="57"/>
      <c r="M592" s="57"/>
      <c r="N592" s="57"/>
      <c r="O592" s="57"/>
      <c r="P592" s="57"/>
      <c r="Q592" s="57"/>
      <c r="R592" s="57"/>
      <c r="S592" s="60"/>
    </row>
    <row r="593" spans="1:19" x14ac:dyDescent="0.2">
      <c r="A593" s="56" t="s">
        <v>645</v>
      </c>
      <c r="B593" s="57" t="s">
        <v>655</v>
      </c>
      <c r="C593" s="57" t="s">
        <v>1021</v>
      </c>
      <c r="D593" s="57" t="s">
        <v>647</v>
      </c>
      <c r="E593" s="58" t="str">
        <f t="shared" si="71"/>
        <v>s36q359_who_admin</v>
      </c>
      <c r="F593" s="57" t="str">
        <f>CONCATENATE("Ai là người dùng/trộn/tiêm &lt;span style='color:blue;'&gt;${",E588,"}&lt;/span&gt; đó cho đàn gà?")</f>
        <v>Ai là người dùng/trộn/tiêm &lt;span style='color:blue;'&gt;${s36c2_cur_gen_med_vitamin_name}&lt;/span&gt; đó cho đàn gà?</v>
      </c>
      <c r="G593" s="57" t="str">
        <f t="shared" si="72"/>
        <v>S36Q359: Ai là người dùng/trộn/tiêm &lt;span style='color:blue;'&gt;${s36c2_cur_gen_med_vitamin_name}&lt;/span&gt; đó cho đàn gà?</v>
      </c>
      <c r="H593" s="57"/>
      <c r="I593" s="57"/>
      <c r="J593" s="57"/>
      <c r="K593" s="57" t="s">
        <v>40</v>
      </c>
      <c r="L593" s="57"/>
      <c r="M593" s="57"/>
      <c r="N593" s="57"/>
      <c r="O593" s="57"/>
      <c r="P593" s="57"/>
      <c r="Q593" s="57"/>
      <c r="R593" s="57"/>
      <c r="S593" s="60"/>
    </row>
    <row r="594" spans="1:19" x14ac:dyDescent="0.2">
      <c r="A594" s="56" t="s">
        <v>648</v>
      </c>
      <c r="B594" s="57" t="s">
        <v>655</v>
      </c>
      <c r="C594" s="57" t="s">
        <v>1022</v>
      </c>
      <c r="D594" s="57" t="s">
        <v>650</v>
      </c>
      <c r="E594" s="58" t="str">
        <f t="shared" si="71"/>
        <v>s36q360_how_knowhow</v>
      </c>
      <c r="F594" s="57" t="str">
        <f>CONCATENATE("Làm thế nào ông/bà hay họ biết cách sử dụng loại &lt;span style='color:blue;'&gt;${",E588,"}&lt;/span&gt; đó?")</f>
        <v>Làm thế nào ông/bà hay họ biết cách sử dụng loại &lt;span style='color:blue;'&gt;${s36c2_cur_gen_med_vitamin_name}&lt;/span&gt; đó?</v>
      </c>
      <c r="G594" s="57" t="str">
        <f t="shared" si="72"/>
        <v>S36Q360: Làm thế nào ông/bà hay họ biết cách sử dụng loại &lt;span style='color:blue;'&gt;${s36c2_cur_gen_med_vitamin_name}&lt;/span&gt; đó?</v>
      </c>
      <c r="H594" s="57"/>
      <c r="I594" s="57"/>
      <c r="J594" s="57"/>
      <c r="K594" s="57" t="s">
        <v>40</v>
      </c>
      <c r="L594" s="57"/>
      <c r="M594" s="57" t="str">
        <f>CONCATENATE("selected(${",E593,"},'myself') or selected(${",E593,"},'farm_worker') or selected(${",E593,"},'friends')")</f>
        <v>selected(${s36q359_who_admin},'myself') or selected(${s36q359_who_admin},'farm_worker') or selected(${s36q359_who_admin},'friends')</v>
      </c>
      <c r="N594" s="57"/>
      <c r="O594" s="57"/>
      <c r="P594" s="57"/>
      <c r="Q594" s="57"/>
      <c r="R594" s="57"/>
      <c r="S594" s="60"/>
    </row>
    <row r="595" spans="1:19" x14ac:dyDescent="0.2">
      <c r="A595" s="56" t="s">
        <v>88</v>
      </c>
      <c r="B595" s="57" t="s">
        <v>655</v>
      </c>
      <c r="C595" s="57" t="s">
        <v>1023</v>
      </c>
      <c r="D595" s="57" t="s">
        <v>652</v>
      </c>
      <c r="E595" s="58" t="str">
        <f t="shared" si="71"/>
        <v>s36q361_no_occassions</v>
      </c>
      <c r="F595" s="57" t="str">
        <f>CONCATENATE("Ông/bà đã dùng &lt;span style='color:blue;'&gt;${",E588,"}&lt;/span&gt; cho đàn gà bao nhiêu lần ở lần đó?")</f>
        <v>Ông/bà đã dùng &lt;span style='color:blue;'&gt;${s36c2_cur_gen_med_vitamin_name}&lt;/span&gt; cho đàn gà bao nhiêu lần ở lần đó?</v>
      </c>
      <c r="G595" s="57" t="str">
        <f t="shared" si="72"/>
        <v>S36Q361: Ông/bà đã dùng &lt;span style='color:blue;'&gt;${s36c2_cur_gen_med_vitamin_name}&lt;/span&gt; cho đàn gà bao nhiêu lần ở lần đó?</v>
      </c>
      <c r="H595" s="57"/>
      <c r="I595" s="57" t="s">
        <v>184</v>
      </c>
      <c r="J595" s="57"/>
      <c r="K595" s="57" t="s">
        <v>40</v>
      </c>
      <c r="L595" s="57"/>
      <c r="M595" s="57"/>
      <c r="N595" s="57"/>
      <c r="O595" s="57"/>
      <c r="P595" s="57"/>
      <c r="Q595" s="57"/>
      <c r="R595" s="57"/>
      <c r="S595" s="60"/>
    </row>
    <row r="596" spans="1:19" x14ac:dyDescent="0.2">
      <c r="A596" s="62" t="s">
        <v>74</v>
      </c>
      <c r="C596" s="4" t="s">
        <v>43</v>
      </c>
      <c r="S596" s="63"/>
    </row>
    <row r="597" spans="1:19" x14ac:dyDescent="0.2">
      <c r="A597" s="56" t="s">
        <v>123</v>
      </c>
      <c r="B597" s="57" t="s">
        <v>655</v>
      </c>
      <c r="C597" s="57" t="s">
        <v>43</v>
      </c>
      <c r="D597" s="57" t="s">
        <v>1024</v>
      </c>
      <c r="E597" s="58" t="str">
        <f>CONCATENATE(B597,C597,"_",D597)</f>
        <v>s36_rpt_gen_med_vit_occ</v>
      </c>
      <c r="F597" s="57" t="s">
        <v>654</v>
      </c>
      <c r="G597" s="57" t="str">
        <f>CONCATENATE(UPPER(B597),UPPER(C597),": ",F597)</f>
        <v>S36: Chi tiết các lần dùng</v>
      </c>
      <c r="H597" s="57"/>
      <c r="I597" s="57"/>
      <c r="J597" s="57"/>
      <c r="K597" s="57"/>
      <c r="L597" s="57"/>
      <c r="M597" s="57"/>
      <c r="N597" s="57"/>
      <c r="O597" s="57" t="str">
        <f>CONCATENATE("${",E595,"}")</f>
        <v>${s36q361_no_occassions}</v>
      </c>
      <c r="P597" s="57"/>
      <c r="Q597" s="57"/>
      <c r="R597" s="57"/>
      <c r="S597" s="60"/>
    </row>
    <row r="598" spans="1:19" x14ac:dyDescent="0.2">
      <c r="A598" s="71" t="s">
        <v>127</v>
      </c>
      <c r="B598" s="72" t="s">
        <v>655</v>
      </c>
      <c r="C598" s="72" t="s">
        <v>128</v>
      </c>
      <c r="D598" s="72" t="s">
        <v>1025</v>
      </c>
      <c r="E598" s="73" t="str">
        <f>CONCATENATE(B598,C598,"_",D598)</f>
        <v>s36c1_cur_rpt_gen_med_vit_name</v>
      </c>
      <c r="F598" s="72"/>
      <c r="G598" s="72"/>
      <c r="H598" s="72"/>
      <c r="I598" s="72"/>
      <c r="J598" s="72"/>
      <c r="K598" s="72"/>
      <c r="L598" s="72"/>
      <c r="M598" s="72"/>
      <c r="N598" s="72"/>
      <c r="O598" s="72"/>
      <c r="P598" s="72" t="str">
        <f>CONCATENATE("${",E588,"}")</f>
        <v>${s36c2_cur_gen_med_vitamin_name}</v>
      </c>
      <c r="Q598" s="72"/>
      <c r="R598" s="72"/>
      <c r="S598" s="75"/>
    </row>
    <row r="599" spans="1:19" x14ac:dyDescent="0.2">
      <c r="A599" s="56" t="s">
        <v>127</v>
      </c>
      <c r="B599" s="57" t="s">
        <v>655</v>
      </c>
      <c r="C599" s="57" t="s">
        <v>128</v>
      </c>
      <c r="D599" s="57" t="s">
        <v>1026</v>
      </c>
      <c r="E599" s="58" t="str">
        <f>CONCATENATE(B599,C599,"_",D599)</f>
        <v>s36c1_cur_gen_med_vit_occassion</v>
      </c>
      <c r="F599" s="57"/>
      <c r="G599" s="57"/>
      <c r="H599" s="57"/>
      <c r="I599" s="57"/>
      <c r="J599" s="57"/>
      <c r="K599" s="57"/>
      <c r="L599" s="57"/>
      <c r="M599" s="57"/>
      <c r="N599" s="57"/>
      <c r="O599" s="57"/>
      <c r="P599" s="57" t="s">
        <v>658</v>
      </c>
      <c r="Q599" s="57"/>
      <c r="R599" s="57"/>
      <c r="S599" s="60"/>
    </row>
    <row r="600" spans="1:19" x14ac:dyDescent="0.2">
      <c r="A600" s="56" t="s">
        <v>88</v>
      </c>
      <c r="B600" s="57" t="s">
        <v>655</v>
      </c>
      <c r="C600" s="57" t="s">
        <v>1027</v>
      </c>
      <c r="D600" s="57" t="s">
        <v>660</v>
      </c>
      <c r="E600" s="58" t="str">
        <f>CONCATENATE(B600,C600,"_",D600)</f>
        <v>s36q362_birds_age</v>
      </c>
      <c r="F600" s="57" t="str">
        <f>CONCATENATE("Ông/bà dùng &lt;span style='color:blue;'&gt;${",E598,"}&lt;/span&gt; the &lt;span style='color:blue;'&gt;${",E597,"}&lt;/span&gt; cho đàn gà của mình vào giai đoạn tuổi nào? (Lưu ý: tính theo tuần tuổi)?")</f>
        <v>Ông/bà dùng &lt;span style='color:blue;'&gt;${s36c1_cur_rpt_gen_med_vit_name}&lt;/span&gt; the &lt;span style='color:blue;'&gt;${s36_rpt_gen_med_vit_occ}&lt;/span&gt; cho đàn gà của mình vào giai đoạn tuổi nào? (Lưu ý: tính theo tuần tuổi)?</v>
      </c>
      <c r="G600" s="57" t="str">
        <f>CONCATENATE(UPPER(B600),UPPER(C600),": ",F600)</f>
        <v>S36Q362: Ông/bà dùng &lt;span style='color:blue;'&gt;${s36c1_cur_rpt_gen_med_vit_name}&lt;/span&gt; the &lt;span style='color:blue;'&gt;${s36_rpt_gen_med_vit_occ}&lt;/span&gt; cho đàn gà của mình vào giai đoạn tuổi nào? (Lưu ý: tính theo tuần tuổi)?</v>
      </c>
      <c r="H600" s="57" t="s">
        <v>2621</v>
      </c>
      <c r="I600" s="57" t="s">
        <v>106</v>
      </c>
      <c r="J600" s="57"/>
      <c r="K600" s="57" t="s">
        <v>40</v>
      </c>
      <c r="L600" s="57"/>
      <c r="M600" s="57"/>
      <c r="N600" s="57"/>
      <c r="O600" s="57"/>
      <c r="P600" s="57"/>
      <c r="Q600" s="57"/>
      <c r="R600" s="57"/>
      <c r="S600" s="60"/>
    </row>
    <row r="601" spans="1:19" x14ac:dyDescent="0.2">
      <c r="A601" s="56" t="s">
        <v>88</v>
      </c>
      <c r="B601" s="57" t="s">
        <v>655</v>
      </c>
      <c r="C601" s="57" t="s">
        <v>1028</v>
      </c>
      <c r="D601" s="57" t="s">
        <v>598</v>
      </c>
      <c r="E601" s="58" t="str">
        <f>CONCATENATE(B601,C601,"_",D601)</f>
        <v>s36q363_cost</v>
      </c>
      <c r="F601" s="57" t="str">
        <f>CONCATENATE("Chi phí cho các &lt;span style='color:blue;'&gt;${",E598,"}&lt;/span&gt; lần dùng đó &lt;span style='color:blue;'&gt;${",E599,"}&lt;/span&gt; là bao nhiêu?")</f>
        <v>Chi phí cho các &lt;span style='color:blue;'&gt;${s36c1_cur_rpt_gen_med_vit_name}&lt;/span&gt; lần dùng đó &lt;span style='color:blue;'&gt;${s36c1_cur_gen_med_vit_occassion}&lt;/span&gt; là bao nhiêu?</v>
      </c>
      <c r="G601" s="57" t="str">
        <f>CONCATENATE(UPPER(B601),UPPER(C601),": ",F601)</f>
        <v>S36Q363: Chi phí cho các &lt;span style='color:blue;'&gt;${s36c1_cur_rpt_gen_med_vit_name}&lt;/span&gt; lần dùng đó &lt;span style='color:blue;'&gt;${s36c1_cur_gen_med_vit_occassion}&lt;/span&gt; là bao nhiêu?</v>
      </c>
      <c r="H601" s="57" t="s">
        <v>2617</v>
      </c>
      <c r="I601" s="57" t="s">
        <v>106</v>
      </c>
      <c r="J601" s="57"/>
      <c r="K601" s="57" t="s">
        <v>40</v>
      </c>
      <c r="L601" s="57"/>
      <c r="M601" s="57"/>
      <c r="N601" s="57"/>
      <c r="O601" s="57"/>
      <c r="P601" s="57"/>
      <c r="Q601" s="57"/>
      <c r="R601" s="57"/>
      <c r="S601" s="60"/>
    </row>
    <row r="602" spans="1:19" x14ac:dyDescent="0.2">
      <c r="A602" s="62" t="s">
        <v>147</v>
      </c>
      <c r="C602" s="4" t="s">
        <v>43</v>
      </c>
      <c r="S602" s="63"/>
    </row>
    <row r="603" spans="1:19" ht="12.75" thickBot="1" x14ac:dyDescent="0.25">
      <c r="A603" s="64" t="s">
        <v>147</v>
      </c>
      <c r="B603" s="65"/>
      <c r="C603" s="65" t="s">
        <v>43</v>
      </c>
      <c r="D603" s="65"/>
      <c r="E603" s="65"/>
      <c r="F603" s="65"/>
      <c r="G603" s="65"/>
      <c r="H603" s="65"/>
      <c r="I603" s="65"/>
      <c r="J603" s="65"/>
      <c r="K603" s="65"/>
      <c r="L603" s="65"/>
      <c r="M603" s="65"/>
      <c r="N603" s="65"/>
      <c r="O603" s="65"/>
      <c r="P603" s="65"/>
      <c r="Q603" s="65"/>
      <c r="R603" s="65"/>
      <c r="S603" s="66"/>
    </row>
    <row r="604" spans="1:19" x14ac:dyDescent="0.2">
      <c r="A604" s="21" t="s">
        <v>88</v>
      </c>
      <c r="B604" s="21" t="s">
        <v>1029</v>
      </c>
      <c r="C604" s="21" t="s">
        <v>1030</v>
      </c>
      <c r="D604" s="21" t="s">
        <v>1031</v>
      </c>
      <c r="E604" s="22" t="str">
        <f>CONCATENATE(B604,C604,"_",D604)</f>
        <v>s37q364_no_sickness</v>
      </c>
      <c r="F604" s="21" t="s">
        <v>2725</v>
      </c>
      <c r="G604" s="21" t="str">
        <f>CONCATENATE(UPPER(B604),UPPER(C604),": ",F604)</f>
        <v>S37Q364: Ở lứa nuôi gần đây, có bao nhiêu lần gà bị ốm?</v>
      </c>
      <c r="H604" s="21" t="s">
        <v>2766</v>
      </c>
      <c r="I604" s="21" t="s">
        <v>184</v>
      </c>
      <c r="J604" s="21"/>
      <c r="K604" s="21" t="s">
        <v>40</v>
      </c>
      <c r="L604" s="21"/>
      <c r="M604" s="21" t="str">
        <f>CONCATENATE("selected(${",E561,"},'yes')")</f>
        <v>selected(${s36q341_is_sick},'yes')</v>
      </c>
      <c r="N604" s="21"/>
      <c r="O604" s="21"/>
      <c r="P604" s="21"/>
      <c r="Q604" s="21"/>
      <c r="R604" s="21"/>
      <c r="S604" s="21"/>
    </row>
    <row r="605" spans="1:19" x14ac:dyDescent="0.2">
      <c r="A605" s="21" t="s">
        <v>123</v>
      </c>
      <c r="B605" s="21" t="s">
        <v>1029</v>
      </c>
      <c r="C605" s="21" t="s">
        <v>43</v>
      </c>
      <c r="D605" s="21" t="s">
        <v>1032</v>
      </c>
      <c r="E605" s="22" t="str">
        <f t="shared" ref="E605:E617" si="73">CONCATENATE(B605,C605,"_",D605)</f>
        <v>s37_rpt_sickness</v>
      </c>
      <c r="F605" s="21" t="s">
        <v>2726</v>
      </c>
      <c r="G605" s="21" t="str">
        <f t="shared" ref="G605:G617" si="74">CONCATENATE(UPPER(B605),UPPER(C605),": ",F605)</f>
        <v>S37: Tình hình ốm, bệnh của đàn gà</v>
      </c>
      <c r="H605" s="21"/>
      <c r="I605" s="21"/>
      <c r="J605" s="21"/>
      <c r="K605" s="21"/>
      <c r="L605" s="21"/>
      <c r="M605" s="21" t="str">
        <f>CONCATENATE("selected(${",E561,"},'yes')")</f>
        <v>selected(${s36q341_is_sick},'yes')</v>
      </c>
      <c r="N605" s="21"/>
      <c r="O605" s="21" t="str">
        <f>CONCATENATE("${",E604,"}")</f>
        <v>${s37q364_no_sickness}</v>
      </c>
      <c r="P605" s="21"/>
      <c r="Q605" s="21"/>
      <c r="R605" s="21"/>
      <c r="S605" s="21"/>
    </row>
    <row r="606" spans="1:19" x14ac:dyDescent="0.2">
      <c r="A606" s="21" t="s">
        <v>127</v>
      </c>
      <c r="B606" s="21" t="s">
        <v>1029</v>
      </c>
      <c r="C606" s="21" t="s">
        <v>128</v>
      </c>
      <c r="D606" s="21" t="s">
        <v>1033</v>
      </c>
      <c r="E606" s="22" t="str">
        <f t="shared" si="73"/>
        <v>s37c1_cur_sickness</v>
      </c>
      <c r="F606" s="21"/>
      <c r="G606" s="21"/>
      <c r="H606" s="21"/>
      <c r="I606" s="21"/>
      <c r="J606" s="21"/>
      <c r="K606" s="21"/>
      <c r="L606" s="21"/>
      <c r="M606" s="21"/>
      <c r="N606" s="21"/>
      <c r="O606" s="21"/>
      <c r="P606" s="21" t="s">
        <v>658</v>
      </c>
      <c r="Q606" s="21"/>
      <c r="R606" s="21"/>
      <c r="S606" s="21"/>
    </row>
    <row r="607" spans="1:19" x14ac:dyDescent="0.2">
      <c r="A607" s="21" t="s">
        <v>41</v>
      </c>
      <c r="B607" s="21" t="s">
        <v>1029</v>
      </c>
      <c r="C607" s="21" t="s">
        <v>43</v>
      </c>
      <c r="D607" s="21" t="s">
        <v>1034</v>
      </c>
      <c r="E607" s="22" t="str">
        <f t="shared" si="73"/>
        <v>s37_grp_health</v>
      </c>
      <c r="F607" s="21" t="s">
        <v>2727</v>
      </c>
      <c r="G607" s="21" t="str">
        <f t="shared" si="74"/>
        <v>S37: TÌNH HÌNH SỨC KHỎE (ĐÀN GẦN ĐÂY)</v>
      </c>
      <c r="H607" s="21"/>
      <c r="I607" s="21"/>
      <c r="J607" s="21"/>
      <c r="K607" s="21"/>
      <c r="L607" s="21"/>
      <c r="M607" s="21"/>
      <c r="N607" s="21"/>
      <c r="O607" s="21"/>
      <c r="P607" s="21"/>
      <c r="Q607" s="21"/>
      <c r="R607" s="21"/>
      <c r="S607" s="21"/>
    </row>
    <row r="608" spans="1:19" x14ac:dyDescent="0.2">
      <c r="A608" s="21" t="s">
        <v>111</v>
      </c>
      <c r="B608" s="21" t="s">
        <v>1029</v>
      </c>
      <c r="C608" s="43" t="s">
        <v>1035</v>
      </c>
      <c r="D608" s="21" t="s">
        <v>1036</v>
      </c>
      <c r="E608" s="22" t="str">
        <f t="shared" si="73"/>
        <v>s37q365_sick_at_age</v>
      </c>
      <c r="F608" s="21" t="str">
        <f>CONCATENATE("&lt;span style='color:blue;'&gt; Gà ốm/bệnh  ${",E606,"}&lt;/span&gt;: Lứa tuổi của gà bị bệnh/hay chết ở lứa gần đây là tuần tuổi nào?")</f>
        <v>&lt;span style='color:blue;'&gt; Gà ốm/bệnh  ${s37c1_cur_sickness}&lt;/span&gt;: Lứa tuổi của gà bị bệnh/hay chết ở lứa gần đây là tuần tuổi nào?</v>
      </c>
      <c r="G608" s="21" t="str">
        <f t="shared" si="74"/>
        <v>S37Q365: &lt;span style='color:blue;'&gt; Gà ốm/bệnh  ${s37c1_cur_sickness}&lt;/span&gt;: Lứa tuổi của gà bị bệnh/hay chết ở lứa gần đây là tuần tuổi nào?</v>
      </c>
      <c r="H608" s="21"/>
      <c r="I608" s="21" t="s">
        <v>106</v>
      </c>
      <c r="J608" s="21"/>
      <c r="K608" s="21" t="s">
        <v>40</v>
      </c>
      <c r="L608" s="21"/>
      <c r="M608" s="21"/>
      <c r="N608" s="21"/>
      <c r="O608" s="21"/>
      <c r="P608" s="21"/>
      <c r="Q608" s="21"/>
      <c r="R608" s="21"/>
      <c r="S608" s="21"/>
    </row>
    <row r="609" spans="1:19" x14ac:dyDescent="0.2">
      <c r="A609" s="21" t="s">
        <v>88</v>
      </c>
      <c r="B609" s="21" t="s">
        <v>1029</v>
      </c>
      <c r="C609" s="21" t="s">
        <v>1037</v>
      </c>
      <c r="D609" s="21" t="s">
        <v>1038</v>
      </c>
      <c r="E609" s="22" t="str">
        <f t="shared" si="73"/>
        <v>s37q366_no_sick</v>
      </c>
      <c r="F609" s="21" t="str">
        <f>CONCATENATE("&lt;span style='color:blue;'&gt;Gà ốm/bệnh ${",E606,"}&lt;/span&gt;: Bao nhiêu con bị mắc bệnh khi đó?")</f>
        <v>&lt;span style='color:blue;'&gt;Gà ốm/bệnh ${s37c1_cur_sickness}&lt;/span&gt;: Bao nhiêu con bị mắc bệnh khi đó?</v>
      </c>
      <c r="G609" s="21" t="str">
        <f t="shared" si="74"/>
        <v>S37Q366: &lt;span style='color:blue;'&gt;Gà ốm/bệnh ${s37c1_cur_sickness}&lt;/span&gt;: Bao nhiêu con bị mắc bệnh khi đó?</v>
      </c>
      <c r="H609" s="21"/>
      <c r="I609" s="21" t="s">
        <v>106</v>
      </c>
      <c r="J609" s="21"/>
      <c r="K609" s="21" t="s">
        <v>40</v>
      </c>
      <c r="L609" s="21"/>
      <c r="M609" s="21"/>
      <c r="N609" s="21"/>
      <c r="O609" s="21"/>
      <c r="P609" s="21"/>
      <c r="Q609" s="21"/>
      <c r="R609" s="21"/>
      <c r="S609" s="21"/>
    </row>
    <row r="610" spans="1:19" x14ac:dyDescent="0.2">
      <c r="A610" s="4" t="s">
        <v>74</v>
      </c>
      <c r="C610" s="4" t="s">
        <v>43</v>
      </c>
    </row>
    <row r="611" spans="1:19" x14ac:dyDescent="0.2">
      <c r="A611" s="21" t="s">
        <v>1039</v>
      </c>
      <c r="B611" s="21" t="s">
        <v>1029</v>
      </c>
      <c r="C611" s="43" t="s">
        <v>1040</v>
      </c>
      <c r="D611" s="21" t="s">
        <v>1041</v>
      </c>
      <c r="E611" s="22" t="str">
        <f t="shared" si="73"/>
        <v>s37q367_sick_symptoms</v>
      </c>
      <c r="F611" s="21" t="str">
        <f>CONCATENATE("&lt;span style='color:blue;'&gt;Gà ốm/bệnh ${",E606,"}&lt;/span&gt;: Triệu chứng của những gà bệnh là gì?")</f>
        <v>&lt;span style='color:blue;'&gt;Gà ốm/bệnh ${s37c1_cur_sickness}&lt;/span&gt;: Triệu chứng của những gà bệnh là gì?</v>
      </c>
      <c r="G611" s="21" t="str">
        <f t="shared" si="74"/>
        <v>S37Q367: &lt;span style='color:blue;'&gt;Gà ốm/bệnh ${s37c1_cur_sickness}&lt;/span&gt;: Triệu chứng của những gà bệnh là gì?</v>
      </c>
      <c r="H611" s="21"/>
      <c r="I611" s="21"/>
      <c r="J611" s="21"/>
      <c r="K611" s="21" t="s">
        <v>40</v>
      </c>
      <c r="L611" s="21" t="s">
        <v>624</v>
      </c>
      <c r="M611" s="21"/>
      <c r="N611" s="21"/>
      <c r="O611" s="21"/>
      <c r="P611" s="21"/>
      <c r="Q611" s="21"/>
      <c r="R611" s="21"/>
      <c r="S611" s="21"/>
    </row>
    <row r="612" spans="1:19" x14ac:dyDescent="0.2">
      <c r="A612" s="21" t="s">
        <v>41</v>
      </c>
      <c r="B612" s="21" t="s">
        <v>1029</v>
      </c>
      <c r="C612" s="21" t="s">
        <v>43</v>
      </c>
      <c r="D612" s="21" t="s">
        <v>1042</v>
      </c>
      <c r="E612" s="22" t="str">
        <f>CONCATENATE(B612,C612,"_",D612)</f>
        <v>s37_grp_diseases_cont</v>
      </c>
      <c r="F612" s="21" t="s">
        <v>2728</v>
      </c>
      <c r="G612" s="21" t="str">
        <f>CONCATENATE(UPPER(B612),UPPER(C612),": ",F612)</f>
        <v>S37: Các bệnh/tỷ lệ chết (lứa gà gần đây)  ../(tiếp tục)</v>
      </c>
      <c r="H612" s="21"/>
      <c r="I612" s="21"/>
      <c r="J612" s="21"/>
      <c r="K612" s="21"/>
      <c r="L612" s="21"/>
      <c r="M612" s="21"/>
      <c r="N612" s="21"/>
      <c r="O612" s="21"/>
      <c r="P612" s="21"/>
      <c r="Q612" s="21"/>
      <c r="R612" s="21"/>
      <c r="S612" s="21"/>
    </row>
    <row r="613" spans="1:19" x14ac:dyDescent="0.2">
      <c r="A613" s="21" t="s">
        <v>67</v>
      </c>
      <c r="B613" s="21" t="s">
        <v>1029</v>
      </c>
      <c r="C613" s="21" t="s">
        <v>1043</v>
      </c>
      <c r="D613" s="21" t="s">
        <v>1044</v>
      </c>
      <c r="E613" s="22" t="str">
        <f t="shared" si="73"/>
        <v>s37q368_is_sick_died</v>
      </c>
      <c r="F613" s="21" t="str">
        <f>CONCATENATE("&lt;span style='color:blue;'&gt;Gà ốm/bệnh ${",E606,"}&lt;/span&gt;: Đàn gà của ông/bà trong lứa gần đây, có gà nào bị chết không?")</f>
        <v>&lt;span style='color:blue;'&gt;Gà ốm/bệnh ${s37c1_cur_sickness}&lt;/span&gt;: Đàn gà của ông/bà trong lứa gần đây, có gà nào bị chết không?</v>
      </c>
      <c r="G613" s="21" t="str">
        <f t="shared" si="74"/>
        <v>S37Q368: &lt;span style='color:blue;'&gt;Gà ốm/bệnh ${s37c1_cur_sickness}&lt;/span&gt;: Đàn gà của ông/bà trong lứa gần đây, có gà nào bị chết không?</v>
      </c>
      <c r="H613" s="21"/>
      <c r="I613" s="21"/>
      <c r="J613" s="21"/>
      <c r="K613" s="21" t="s">
        <v>40</v>
      </c>
      <c r="L613" s="21" t="s">
        <v>50</v>
      </c>
      <c r="M613" s="21"/>
      <c r="N613" s="21"/>
      <c r="O613" s="21"/>
      <c r="P613" s="21"/>
      <c r="Q613" s="21"/>
      <c r="R613" s="21"/>
      <c r="S613" s="21"/>
    </row>
    <row r="614" spans="1:19" x14ac:dyDescent="0.2">
      <c r="A614" s="21" t="s">
        <v>88</v>
      </c>
      <c r="B614" s="21" t="s">
        <v>1029</v>
      </c>
      <c r="C614" s="43" t="s">
        <v>1045</v>
      </c>
      <c r="D614" s="21" t="s">
        <v>1046</v>
      </c>
      <c r="E614" s="22" t="str">
        <f t="shared" si="73"/>
        <v>s37q369_no_sick_dead</v>
      </c>
      <c r="F614" s="21" t="str">
        <f>CONCATENATE("&lt;span style='color:blue;'&gt;Gà ốm/bệnh ${",E606,"}&lt;/span&gt;: Nếu có, bao nhiêu gà đã bị chết")</f>
        <v>&lt;span style='color:blue;'&gt;Gà ốm/bệnh ${s37c1_cur_sickness}&lt;/span&gt;: Nếu có, bao nhiêu gà đã bị chết</v>
      </c>
      <c r="G614" s="21" t="str">
        <f t="shared" si="74"/>
        <v>S37Q369: &lt;span style='color:blue;'&gt;Gà ốm/bệnh ${s37c1_cur_sickness}&lt;/span&gt;: Nếu có, bao nhiêu gà đã bị chết</v>
      </c>
      <c r="H614" s="21"/>
      <c r="I614" s="21" t="s">
        <v>106</v>
      </c>
      <c r="J614" s="21"/>
      <c r="K614" s="21" t="s">
        <v>40</v>
      </c>
      <c r="L614" s="21"/>
      <c r="M614" s="21" t="str">
        <f>CONCATENATE("selected(${",E613,"},'yes')")</f>
        <v>selected(${s37q368_is_sick_died},'yes')</v>
      </c>
      <c r="N614" s="21"/>
      <c r="O614" s="21"/>
      <c r="P614" s="21"/>
      <c r="Q614" s="21"/>
      <c r="R614" s="21"/>
      <c r="S614" s="21"/>
    </row>
    <row r="615" spans="1:19" x14ac:dyDescent="0.2">
      <c r="A615" s="21" t="s">
        <v>88</v>
      </c>
      <c r="B615" s="21" t="s">
        <v>1029</v>
      </c>
      <c r="C615" s="21" t="s">
        <v>1047</v>
      </c>
      <c r="D615" s="21" t="s">
        <v>1048</v>
      </c>
      <c r="E615" s="22" t="str">
        <f t="shared" si="73"/>
        <v>s37q370_dead_value</v>
      </c>
      <c r="F615" s="21" t="str">
        <f>CONCATENATE("&lt;span style='color:blue;'&gt;Gà ốm/bệnh ${",E606,"}&lt;/span&gt;: Giá trị của từng con gà bị chết vào thời điểm đó là bao nhiêu? Tính giá trị nếu gà đó vẫn còn khỏe và ông/bà có thể bán ở thời điểm đó?")</f>
        <v>&lt;span style='color:blue;'&gt;Gà ốm/bệnh ${s37c1_cur_sickness}&lt;/span&gt;: Giá trị của từng con gà bị chết vào thời điểm đó là bao nhiêu? Tính giá trị nếu gà đó vẫn còn khỏe và ông/bà có thể bán ở thời điểm đó?</v>
      </c>
      <c r="G615" s="21" t="str">
        <f t="shared" si="74"/>
        <v>S37Q370: &lt;span style='color:blue;'&gt;Gà ốm/bệnh ${s37c1_cur_sickness}&lt;/span&gt;: Giá trị của từng con gà bị chết vào thời điểm đó là bao nhiêu? Tính giá trị nếu gà đó vẫn còn khỏe và ông/bà có thể bán ở thời điểm đó?</v>
      </c>
      <c r="H615" s="21"/>
      <c r="I615" s="21" t="s">
        <v>106</v>
      </c>
      <c r="J615" s="21"/>
      <c r="K615" s="21" t="s">
        <v>40</v>
      </c>
      <c r="L615" s="21"/>
      <c r="M615" s="21" t="str">
        <f>CONCATENATE("${",E614,"} &gt; 0")</f>
        <v>${s37q369_no_sick_dead} &gt; 0</v>
      </c>
      <c r="N615" s="21"/>
      <c r="O615" s="21"/>
      <c r="P615" s="21"/>
      <c r="Q615" s="21"/>
      <c r="R615" s="21"/>
      <c r="S615" s="21"/>
    </row>
    <row r="616" spans="1:19" x14ac:dyDescent="0.2">
      <c r="A616" s="21" t="s">
        <v>1049</v>
      </c>
      <c r="B616" s="21" t="s">
        <v>1029</v>
      </c>
      <c r="C616" s="43" t="s">
        <v>1050</v>
      </c>
      <c r="D616" s="21" t="s">
        <v>1051</v>
      </c>
      <c r="E616" s="22" t="str">
        <f t="shared" si="73"/>
        <v>s37q371_disease_mgmnt</v>
      </c>
      <c r="F616" s="21" t="str">
        <f>CONCATENATE("&lt;span style='color:blue;'&gt;Gà ốm/bệnh ${",E606,"}&lt;/span&gt;: Ông/bà đã làm gì để kiểm soát, quản lý bệnh lúc đó?")</f>
        <v>&lt;span style='color:blue;'&gt;Gà ốm/bệnh ${s37c1_cur_sickness}&lt;/span&gt;: Ông/bà đã làm gì để kiểm soát, quản lý bệnh lúc đó?</v>
      </c>
      <c r="G616" s="21" t="str">
        <f t="shared" si="74"/>
        <v>S37Q371: &lt;span style='color:blue;'&gt;Gà ốm/bệnh ${s37c1_cur_sickness}&lt;/span&gt;: Ông/bà đã làm gì để kiểm soát, quản lý bệnh lúc đó?</v>
      </c>
      <c r="H616" s="21" t="s">
        <v>2767</v>
      </c>
      <c r="I616" s="21" t="s">
        <v>1052</v>
      </c>
      <c r="J616" s="21" t="s">
        <v>526</v>
      </c>
      <c r="K616" s="21" t="s">
        <v>40</v>
      </c>
      <c r="L616" s="21"/>
      <c r="M616" s="21"/>
      <c r="N616" s="21"/>
      <c r="O616" s="21"/>
      <c r="P616" s="21"/>
      <c r="Q616" s="21"/>
      <c r="R616" s="21"/>
      <c r="S616" s="21"/>
    </row>
    <row r="617" spans="1:19" x14ac:dyDescent="0.2">
      <c r="A617" s="21" t="s">
        <v>88</v>
      </c>
      <c r="B617" s="21" t="s">
        <v>1029</v>
      </c>
      <c r="C617" s="21" t="s">
        <v>1053</v>
      </c>
      <c r="D617" s="21" t="s">
        <v>1054</v>
      </c>
      <c r="E617" s="22" t="str">
        <f t="shared" si="73"/>
        <v>s37q372_dis_cost</v>
      </c>
      <c r="F617" s="21" t="str">
        <f>CONCATENATE("&lt;span style='color:blue;'&gt;Gà ốm/bệnh ${",E606,"}&lt;/span&gt;: Ông/bà đã chi tiêu bao nhiêu tiền để điều trị?")</f>
        <v>&lt;span style='color:blue;'&gt;Gà ốm/bệnh ${s37c1_cur_sickness}&lt;/span&gt;: Ông/bà đã chi tiêu bao nhiêu tiền để điều trị?</v>
      </c>
      <c r="G617" s="21" t="str">
        <f t="shared" si="74"/>
        <v>S37Q372: &lt;span style='color:blue;'&gt;Gà ốm/bệnh ${s37c1_cur_sickness}&lt;/span&gt;: Ông/bà đã chi tiêu bao nhiêu tiền để điều trị?</v>
      </c>
      <c r="H617" s="21" t="s">
        <v>2617</v>
      </c>
      <c r="I617" s="21" t="s">
        <v>184</v>
      </c>
      <c r="J617" s="21"/>
      <c r="K617" s="21" t="s">
        <v>40</v>
      </c>
      <c r="L617" s="21"/>
      <c r="M617" s="21" t="str">
        <f>CONCATENATE("not(selected(${",E616,"},'nothing'))")</f>
        <v>not(selected(${s37q371_disease_mgmnt},'nothing'))</v>
      </c>
      <c r="N617" s="21"/>
      <c r="O617" s="21"/>
      <c r="P617" s="21"/>
      <c r="Q617" s="21"/>
      <c r="R617" s="21"/>
      <c r="S617" s="21"/>
    </row>
    <row r="618" spans="1:19" x14ac:dyDescent="0.2">
      <c r="A618" s="4" t="s">
        <v>74</v>
      </c>
      <c r="C618" s="4" t="s">
        <v>43</v>
      </c>
    </row>
    <row r="619" spans="1:19" x14ac:dyDescent="0.2">
      <c r="A619" s="4" t="s">
        <v>147</v>
      </c>
      <c r="C619" s="4" t="s">
        <v>43</v>
      </c>
    </row>
    <row r="620" spans="1:19" x14ac:dyDescent="0.2">
      <c r="A620" s="23" t="s">
        <v>41</v>
      </c>
      <c r="B620" s="23" t="s">
        <v>1029</v>
      </c>
      <c r="C620" s="23" t="s">
        <v>43</v>
      </c>
      <c r="D620" s="23" t="s">
        <v>1055</v>
      </c>
      <c r="E620" s="24" t="str">
        <f>CONCATENATE(B620,C620,"_",D620)</f>
        <v>s37_grp_mortality</v>
      </c>
      <c r="F620" s="23" t="s">
        <v>2728</v>
      </c>
      <c r="G620" s="23" t="str">
        <f>CONCATENATE(UPPER(B620),UPPER(C620),": ",F620)</f>
        <v>S37: Các bệnh/tỷ lệ chết (lứa gà gần đây)  ../(tiếp tục)</v>
      </c>
      <c r="H620" s="23"/>
      <c r="I620" s="23"/>
      <c r="J620" s="23"/>
      <c r="K620" s="23"/>
      <c r="L620" s="23"/>
      <c r="M620" s="23"/>
      <c r="N620" s="23"/>
      <c r="O620" s="23"/>
      <c r="P620" s="23"/>
      <c r="Q620" s="23"/>
      <c r="R620" s="23"/>
      <c r="S620" s="23"/>
    </row>
    <row r="621" spans="1:19" x14ac:dyDescent="0.2">
      <c r="A621" s="23" t="s">
        <v>1056</v>
      </c>
      <c r="B621" s="23" t="s">
        <v>1029</v>
      </c>
      <c r="C621" s="44" t="s">
        <v>1057</v>
      </c>
      <c r="D621" s="23" t="s">
        <v>1058</v>
      </c>
      <c r="E621" s="24" t="str">
        <f>CONCATENATE(B621,C621,"_",D621)</f>
        <v>s37q373_sick_bird_action</v>
      </c>
      <c r="F621" s="23" t="s">
        <v>2729</v>
      </c>
      <c r="G621" s="23" t="str">
        <f>CONCATENATE(UPPER(B621),UPPER(C621),": ",F621)</f>
        <v>S37Q373: Ông bà sẽ làm gì nếu tình trạng của đàn gà không cải thiện sau khi dùng thuốc điều trị?</v>
      </c>
      <c r="H621" s="23"/>
      <c r="I621" s="23" t="s">
        <v>1052</v>
      </c>
      <c r="J621" s="23" t="s">
        <v>526</v>
      </c>
      <c r="K621" s="23" t="s">
        <v>40</v>
      </c>
      <c r="L621" s="23"/>
      <c r="M621" s="23"/>
      <c r="N621" s="23"/>
      <c r="O621" s="23"/>
      <c r="P621" s="23"/>
      <c r="Q621" s="23"/>
      <c r="R621" s="23"/>
      <c r="S621" s="23"/>
    </row>
    <row r="622" spans="1:19" x14ac:dyDescent="0.2">
      <c r="A622" s="23" t="s">
        <v>67</v>
      </c>
      <c r="B622" s="23" t="s">
        <v>1029</v>
      </c>
      <c r="C622" s="23" t="s">
        <v>1059</v>
      </c>
      <c r="D622" s="23" t="s">
        <v>1060</v>
      </c>
      <c r="E622" s="24" t="str">
        <f>CONCATENATE(B622,C622,"_",D622)</f>
        <v>s37q374_is_keep_sick_records</v>
      </c>
      <c r="F622" s="23" t="s">
        <v>2730</v>
      </c>
      <c r="G622" s="23" t="str">
        <f>CONCATENATE(UPPER(B622),UPPER(C622),": ",F622)</f>
        <v>S37Q374: Ông/bà có ghi lại những tổn thất/gà chết phát sinh trong trại không?</v>
      </c>
      <c r="H622" s="23"/>
      <c r="I622" s="23"/>
      <c r="J622" s="23"/>
      <c r="K622" s="23" t="s">
        <v>40</v>
      </c>
      <c r="L622" s="23" t="s">
        <v>50</v>
      </c>
      <c r="M622" s="23"/>
      <c r="N622" s="23"/>
      <c r="O622" s="23"/>
      <c r="P622" s="23"/>
      <c r="Q622" s="23"/>
      <c r="R622" s="23"/>
      <c r="S622" s="23"/>
    </row>
    <row r="623" spans="1:19" x14ac:dyDescent="0.2">
      <c r="A623" s="23" t="s">
        <v>1061</v>
      </c>
      <c r="B623" s="23" t="s">
        <v>1029</v>
      </c>
      <c r="C623" s="44" t="s">
        <v>1062</v>
      </c>
      <c r="D623" s="23" t="s">
        <v>1063</v>
      </c>
      <c r="E623" s="24" t="str">
        <f>CONCATENATE(B623,C623,"_",D623)</f>
        <v>s37q375_sick_records_type</v>
      </c>
      <c r="F623" s="23" t="s">
        <v>2739</v>
      </c>
      <c r="G623" s="23" t="str">
        <f>CONCATENATE(UPPER(B623),UPPER(C623),": ",F623)</f>
        <v>S37Q375: Ông/bà ghi chép lại bẳng hình thức nào?</v>
      </c>
      <c r="H623" s="23"/>
      <c r="I623" s="23"/>
      <c r="J623" s="23"/>
      <c r="K623" s="23" t="s">
        <v>40</v>
      </c>
      <c r="L623" s="23"/>
      <c r="M623" s="23" t="str">
        <f>CONCATENATE("selected(${",E622,"},'yes')")</f>
        <v>selected(${s37q374_is_keep_sick_records},'yes')</v>
      </c>
      <c r="N623" s="23"/>
      <c r="O623" s="23"/>
      <c r="P623" s="23"/>
      <c r="Q623" s="23"/>
      <c r="R623" s="23"/>
      <c r="S623" s="23"/>
    </row>
    <row r="624" spans="1:19" x14ac:dyDescent="0.2">
      <c r="A624" s="23" t="s">
        <v>1064</v>
      </c>
      <c r="B624" s="23" t="s">
        <v>1029</v>
      </c>
      <c r="C624" s="23" t="s">
        <v>1065</v>
      </c>
      <c r="D624" s="23" t="s">
        <v>1066</v>
      </c>
      <c r="E624" s="24" t="str">
        <f>CONCATENATE(B624,C624,"_",D624)</f>
        <v>s37q376_died_bird_action</v>
      </c>
      <c r="F624" s="23" t="s">
        <v>2731</v>
      </c>
      <c r="G624" s="23" t="str">
        <f>CONCATENATE(UPPER(B624),UPPER(C624),": ",F624)</f>
        <v>S37Q376: Ông/bà sẽ làm gì nếu có gà chết sau 1 vài ngày điều trị?</v>
      </c>
      <c r="H624" s="23"/>
      <c r="I624" s="23"/>
      <c r="J624" s="23"/>
      <c r="K624" s="23" t="s">
        <v>40</v>
      </c>
      <c r="L624" s="23"/>
      <c r="M624" s="23" t="str">
        <f>CONCATENATE("not(selected(${",E199,"},'dont_use_ab'))")</f>
        <v>not(selected(${s22q139_month_ab_most_used},'dont_use_ab'))</v>
      </c>
      <c r="N624" s="23"/>
      <c r="O624" s="23"/>
      <c r="P624" s="23"/>
      <c r="Q624" s="23"/>
      <c r="R624" s="23"/>
      <c r="S624" s="23"/>
    </row>
    <row r="625" spans="1:19" x14ac:dyDescent="0.2">
      <c r="A625" s="4" t="s">
        <v>74</v>
      </c>
      <c r="C625" s="4" t="s">
        <v>43</v>
      </c>
    </row>
    <row r="626" spans="1:19" x14ac:dyDescent="0.2">
      <c r="A626" s="38" t="s">
        <v>294</v>
      </c>
      <c r="B626" s="38" t="s">
        <v>1067</v>
      </c>
      <c r="C626" s="38" t="s">
        <v>43</v>
      </c>
      <c r="D626" s="38" t="s">
        <v>1068</v>
      </c>
      <c r="E626" s="39" t="str">
        <f t="shared" ref="E626:E631" si="75">CONCATENATE(B626,C626,"_",D626)</f>
        <v>s40_note_sales</v>
      </c>
      <c r="F626" s="38" t="s">
        <v>2732</v>
      </c>
      <c r="G626" s="38" t="str">
        <f>CONCATENATE(UPPER(B626),UPPER(C626),": ",F626)</f>
        <v>S40: Tiếp theo là các câu hỏi về việc ông/bà  &lt;span style='color:blue;'&gt;bán lứa gà  gần đây nhất &lt;/span&gt; của đàn gà thịt</v>
      </c>
      <c r="H626" s="38"/>
      <c r="I626" s="38"/>
      <c r="J626" s="38"/>
      <c r="K626" s="38"/>
      <c r="L626" s="38"/>
      <c r="M626" s="38"/>
      <c r="N626" s="38"/>
      <c r="O626" s="38"/>
      <c r="P626" s="38"/>
      <c r="Q626" s="38"/>
      <c r="R626" s="38"/>
      <c r="S626" s="38"/>
    </row>
    <row r="627" spans="1:19" x14ac:dyDescent="0.2">
      <c r="A627" s="38" t="s">
        <v>41</v>
      </c>
      <c r="B627" s="38" t="s">
        <v>1067</v>
      </c>
      <c r="C627" s="38"/>
      <c r="D627" s="38" t="s">
        <v>1069</v>
      </c>
      <c r="E627" s="39" t="str">
        <f t="shared" si="75"/>
        <v>s40_grp_gives_consumed</v>
      </c>
      <c r="F627" s="38" t="s">
        <v>2740</v>
      </c>
      <c r="G627" s="38" t="str">
        <f>CONCATENATE(UPPER(B627),UPPER(C627),": ",F627)</f>
        <v>S40: Cho tặng/Mổ thịt để ăn- Give Aways/Consumed</v>
      </c>
      <c r="H627" s="38"/>
      <c r="I627" s="38"/>
      <c r="J627" s="38"/>
      <c r="K627" s="38"/>
      <c r="L627" s="38"/>
      <c r="M627" s="38"/>
      <c r="N627" s="38"/>
      <c r="O627" s="38"/>
      <c r="P627" s="38"/>
      <c r="Q627" s="38"/>
      <c r="R627" s="38"/>
      <c r="S627" s="38"/>
    </row>
    <row r="628" spans="1:19" x14ac:dyDescent="0.2">
      <c r="A628" s="38" t="s">
        <v>88</v>
      </c>
      <c r="B628" s="38" t="s">
        <v>1067</v>
      </c>
      <c r="C628" s="38" t="s">
        <v>1070</v>
      </c>
      <c r="D628" s="38" t="s">
        <v>1071</v>
      </c>
      <c r="E628" s="39" t="str">
        <f t="shared" si="75"/>
        <v>s40q401a_no_give_away</v>
      </c>
      <c r="F628" s="38" t="s">
        <v>2734</v>
      </c>
      <c r="G628" s="38" t="str">
        <f t="shared" ref="G628:G634" si="76">CONCATENATE(UPPER(B628),UPPER(C628),": ",F628)</f>
        <v>S40Q401A: Ở lứa nuôi đó, Ông/bà đã đem cho/tặng bao nhiêu con gà?</v>
      </c>
      <c r="H628" s="38"/>
      <c r="I628" s="38"/>
      <c r="J628" s="38"/>
      <c r="K628" s="38" t="s">
        <v>40</v>
      </c>
      <c r="L628" s="38"/>
      <c r="M628" s="38"/>
      <c r="N628" s="38"/>
      <c r="O628" s="38"/>
      <c r="P628" s="38"/>
      <c r="Q628" s="38"/>
      <c r="R628" s="38"/>
      <c r="S628" s="38"/>
    </row>
    <row r="629" spans="1:19" x14ac:dyDescent="0.2">
      <c r="A629" s="38" t="s">
        <v>88</v>
      </c>
      <c r="B629" s="38" t="s">
        <v>1067</v>
      </c>
      <c r="C629" s="38" t="s">
        <v>1072</v>
      </c>
      <c r="D629" s="38" t="s">
        <v>1073</v>
      </c>
      <c r="E629" s="39" t="str">
        <f t="shared" si="75"/>
        <v>s40q401b_price_give_away</v>
      </c>
      <c r="F629" s="38" t="s">
        <v>2733</v>
      </c>
      <c r="G629" s="38" t="str">
        <f t="shared" si="76"/>
        <v>S40Q401B: Giá của một con gà khi ông/bà đem cho/tặng là khoảng bao nhiêu tiền? (tính giá nếu ông/bà có thể bán chúng)?</v>
      </c>
      <c r="H629" s="38"/>
      <c r="I629" s="38"/>
      <c r="J629" s="38"/>
      <c r="K629" s="38" t="s">
        <v>40</v>
      </c>
      <c r="L629" s="38"/>
      <c r="M629" s="38" t="str">
        <f>CONCATENATE("${",E628,"}&gt;0")</f>
        <v>${s40q401a_no_give_away}&gt;0</v>
      </c>
      <c r="N629" s="38"/>
      <c r="O629" s="38"/>
      <c r="P629" s="38"/>
      <c r="Q629" s="38"/>
      <c r="R629" s="38"/>
      <c r="S629" s="38"/>
    </row>
    <row r="630" spans="1:19" x14ac:dyDescent="0.2">
      <c r="A630" s="38" t="s">
        <v>88</v>
      </c>
      <c r="B630" s="38" t="s">
        <v>1067</v>
      </c>
      <c r="C630" s="38" t="s">
        <v>1074</v>
      </c>
      <c r="D630" s="38" t="s">
        <v>1075</v>
      </c>
      <c r="E630" s="39" t="str">
        <f t="shared" si="75"/>
        <v>s40q401c_no_consumed</v>
      </c>
      <c r="F630" s="38" t="s">
        <v>2735</v>
      </c>
      <c r="G630" s="38" t="str">
        <f t="shared" si="76"/>
        <v>S40Q401C: Ông/bà đã mổ để ăn/tự tiêu thụ bao nhiêu con gà trong lứa vừa rồi ?</v>
      </c>
      <c r="H630" s="38"/>
      <c r="I630" s="38"/>
      <c r="J630" s="38"/>
      <c r="K630" s="38" t="s">
        <v>40</v>
      </c>
      <c r="L630" s="38"/>
      <c r="M630" s="38"/>
      <c r="N630" s="38"/>
      <c r="O630" s="38"/>
      <c r="P630" s="38"/>
      <c r="Q630" s="38"/>
      <c r="R630" s="38"/>
      <c r="S630" s="38"/>
    </row>
    <row r="631" spans="1:19" x14ac:dyDescent="0.2">
      <c r="A631" s="38" t="s">
        <v>88</v>
      </c>
      <c r="B631" s="38" t="s">
        <v>1067</v>
      </c>
      <c r="C631" s="38" t="s">
        <v>1076</v>
      </c>
      <c r="D631" s="38" t="s">
        <v>1077</v>
      </c>
      <c r="E631" s="39" t="str">
        <f t="shared" si="75"/>
        <v>s40q401d_price_consumed</v>
      </c>
      <c r="F631" s="38" t="s">
        <v>2736</v>
      </c>
      <c r="G631" s="38" t="str">
        <f t="shared" si="76"/>
        <v>S40Q401D: Giá của một con gà khi ông/mổ ăn là khoảng bao nhiêu? (tính giá nếu ông/bà có thể bán chúng)?</v>
      </c>
      <c r="H631" s="38"/>
      <c r="I631" s="38"/>
      <c r="J631" s="38"/>
      <c r="K631" s="38" t="s">
        <v>40</v>
      </c>
      <c r="L631" s="38"/>
      <c r="M631" s="38" t="str">
        <f>CONCATENATE("${",E630,"}&gt;0")</f>
        <v>${s40q401c_no_consumed}&gt;0</v>
      </c>
      <c r="N631" s="38"/>
      <c r="O631" s="38"/>
      <c r="P631" s="38"/>
      <c r="Q631" s="38"/>
      <c r="R631" s="38"/>
      <c r="S631" s="38"/>
    </row>
    <row r="632" spans="1:19" x14ac:dyDescent="0.2">
      <c r="A632" s="4" t="s">
        <v>74</v>
      </c>
      <c r="E632" s="6"/>
    </row>
    <row r="633" spans="1:19" x14ac:dyDescent="0.2">
      <c r="A633" s="14" t="s">
        <v>1078</v>
      </c>
      <c r="B633" s="14" t="s">
        <v>1067</v>
      </c>
      <c r="C633" s="14" t="s">
        <v>1079</v>
      </c>
      <c r="D633" s="14" t="s">
        <v>1080</v>
      </c>
      <c r="E633" s="15" t="str">
        <f>CONCATENATE(B633,C633,"_",D633)</f>
        <v>s40q401e_sales_recall</v>
      </c>
      <c r="F633" s="14" t="s">
        <v>2737</v>
      </c>
      <c r="G633" s="14" t="str">
        <f t="shared" si="76"/>
        <v>S40Q401E: Ông/bà đã bán đàn gà theo cách nào?</v>
      </c>
      <c r="H633" s="14"/>
      <c r="I633" s="14"/>
      <c r="J633" s="14"/>
      <c r="K633" s="14" t="s">
        <v>40</v>
      </c>
      <c r="L633" s="14" t="s">
        <v>50</v>
      </c>
      <c r="M633" s="14"/>
      <c r="N633" s="14"/>
      <c r="O633" s="14"/>
      <c r="P633" s="14"/>
      <c r="Q633" s="14"/>
      <c r="R633" s="14"/>
      <c r="S633" s="14"/>
    </row>
    <row r="634" spans="1:19" x14ac:dyDescent="0.2">
      <c r="A634" s="21" t="s">
        <v>41</v>
      </c>
      <c r="B634" s="21" t="s">
        <v>1067</v>
      </c>
      <c r="C634" s="21"/>
      <c r="D634" s="21" t="s">
        <v>1081</v>
      </c>
      <c r="E634" s="22" t="str">
        <f>CONCATENATE(B634,C634,"_",D634)</f>
        <v>s40_grp_detailed_sales</v>
      </c>
      <c r="F634" s="21" t="s">
        <v>2738</v>
      </c>
      <c r="G634" s="21" t="str">
        <f t="shared" si="76"/>
        <v>S40: Các thông tin bán gà chi tiết</v>
      </c>
      <c r="H634" s="21"/>
      <c r="I634" s="21"/>
      <c r="J634" s="21"/>
      <c r="K634" s="21"/>
      <c r="L634" s="21"/>
      <c r="M634" s="21" t="str">
        <f>CONCATENATE("selected(${",E633,"},'few_sales_detail')")</f>
        <v>selected(${s40q401e_sales_recall},'few_sales_detail')</v>
      </c>
      <c r="N634" s="21"/>
      <c r="O634" s="21"/>
      <c r="P634" s="21"/>
      <c r="Q634" s="21"/>
      <c r="R634" s="21"/>
      <c r="S634" s="21"/>
    </row>
    <row r="635" spans="1:19" x14ac:dyDescent="0.2">
      <c r="A635" s="21" t="s">
        <v>88</v>
      </c>
      <c r="B635" s="21" t="s">
        <v>1067</v>
      </c>
      <c r="C635" s="21" t="s">
        <v>1082</v>
      </c>
      <c r="D635" s="21" t="s">
        <v>1083</v>
      </c>
      <c r="E635" s="22" t="str">
        <f>CONCATENATE(B635,C635,"_",D635)</f>
        <v>s40q402_no_sales</v>
      </c>
      <c r="F635" s="21" t="s">
        <v>2741</v>
      </c>
      <c r="G635" s="21" t="str">
        <f>CONCATENATE(UPPER(B635),UPPER(C635),": ",F635)</f>
        <v>S40Q402: Ông/bà đã thực hiện bao nhiêu lần bán đối với đàn/lứa gà gần đây nhất?</v>
      </c>
      <c r="H635" s="21"/>
      <c r="I635" s="21" t="s">
        <v>184</v>
      </c>
      <c r="J635" s="21"/>
      <c r="K635" s="21" t="s">
        <v>40</v>
      </c>
      <c r="L635" s="21"/>
      <c r="M635" s="21"/>
      <c r="N635" s="21"/>
      <c r="O635" s="21"/>
      <c r="P635" s="21"/>
      <c r="Q635" s="21"/>
      <c r="R635" s="21"/>
      <c r="S635" s="21"/>
    </row>
    <row r="636" spans="1:19" x14ac:dyDescent="0.2">
      <c r="A636" s="21" t="s">
        <v>123</v>
      </c>
      <c r="B636" s="21" t="s">
        <v>1067</v>
      </c>
      <c r="C636" s="21" t="s">
        <v>43</v>
      </c>
      <c r="D636" s="21" t="s">
        <v>1084</v>
      </c>
      <c r="E636" s="22" t="str">
        <f t="shared" ref="E636:E651" si="77">CONCATENATE(B636,C636,"_",D636)</f>
        <v>s40_rpt_sale_details</v>
      </c>
      <c r="F636" s="21" t="s">
        <v>2738</v>
      </c>
      <c r="G636" s="21" t="str">
        <f>CONCATENATE(UPPER(B636),UPPER(C636),": ",F636)</f>
        <v>S40: Các thông tin bán gà chi tiết</v>
      </c>
      <c r="H636" s="21"/>
      <c r="I636" s="21"/>
      <c r="J636" s="21"/>
      <c r="K636" s="21"/>
      <c r="L636" s="21"/>
      <c r="M636" s="21"/>
      <c r="N636" s="21"/>
      <c r="O636" s="21" t="str">
        <f>CONCATENATE("${",E635,"}")</f>
        <v>${s40q402_no_sales}</v>
      </c>
      <c r="P636" s="21"/>
      <c r="Q636" s="21"/>
      <c r="R636" s="21"/>
      <c r="S636" s="21"/>
    </row>
    <row r="637" spans="1:19" x14ac:dyDescent="0.2">
      <c r="A637" s="21" t="s">
        <v>127</v>
      </c>
      <c r="B637" s="21" t="s">
        <v>1067</v>
      </c>
      <c r="C637" s="21" t="s">
        <v>128</v>
      </c>
      <c r="D637" s="21" t="s">
        <v>1085</v>
      </c>
      <c r="E637" s="22" t="str">
        <f t="shared" si="77"/>
        <v>s40c1_cur_sale</v>
      </c>
      <c r="F637" s="21"/>
      <c r="G637" s="21"/>
      <c r="H637" s="21"/>
      <c r="I637" s="21"/>
      <c r="J637" s="21"/>
      <c r="K637" s="21"/>
      <c r="L637" s="21"/>
      <c r="M637" s="21"/>
      <c r="N637" s="21"/>
      <c r="O637" s="21"/>
      <c r="P637" s="21" t="s">
        <v>658</v>
      </c>
      <c r="Q637" s="21"/>
      <c r="R637" s="21"/>
      <c r="S637" s="21"/>
    </row>
    <row r="638" spans="1:19" x14ac:dyDescent="0.2">
      <c r="A638" s="21" t="s">
        <v>41</v>
      </c>
      <c r="B638" s="21" t="s">
        <v>1067</v>
      </c>
      <c r="C638" s="21" t="s">
        <v>43</v>
      </c>
      <c r="D638" s="21" t="s">
        <v>1086</v>
      </c>
      <c r="E638" s="22" t="str">
        <f>CONCATENATE(B638,C638,"_",D638)</f>
        <v>s40_grp_sale_details</v>
      </c>
      <c r="F638" s="21" t="s">
        <v>2738</v>
      </c>
      <c r="G638" s="21" t="str">
        <f>CONCATENATE(UPPER(B638),UPPER(C638),": ",F638)</f>
        <v>S40: Các thông tin bán gà chi tiết</v>
      </c>
      <c r="H638" s="21"/>
      <c r="I638" s="21"/>
      <c r="J638" s="21"/>
      <c r="K638" s="21"/>
      <c r="L638" s="21"/>
      <c r="M638" s="21"/>
      <c r="N638" s="21"/>
      <c r="O638" s="21"/>
      <c r="P638" s="21"/>
      <c r="Q638" s="21"/>
      <c r="R638" s="21"/>
      <c r="S638" s="21"/>
    </row>
    <row r="639" spans="1:19" x14ac:dyDescent="0.2">
      <c r="A639" s="21" t="s">
        <v>111</v>
      </c>
      <c r="B639" s="21" t="s">
        <v>1067</v>
      </c>
      <c r="C639" s="21" t="s">
        <v>1087</v>
      </c>
      <c r="D639" s="21" t="s">
        <v>660</v>
      </c>
      <c r="E639" s="22" t="str">
        <f t="shared" si="77"/>
        <v>s40q403_birds_age</v>
      </c>
      <c r="F639" s="21" t="str">
        <f>CONCATENATE("&lt;span style='color:blue;'&gt;Thông tin bán ${",E637,"}&lt;/span&gt;: Gà ở giai đoạn tuổi nào vào thời điểm bán đó?")</f>
        <v>&lt;span style='color:blue;'&gt;Thông tin bán ${s40c1_cur_sale}&lt;/span&gt;: Gà ở giai đoạn tuổi nào vào thời điểm bán đó?</v>
      </c>
      <c r="G639" s="21" t="str">
        <f t="shared" ref="G639:G651" si="78">CONCATENATE(UPPER(B639),UPPER(C639),": ",F639)</f>
        <v>S40Q403: &lt;span style='color:blue;'&gt;Thông tin bán ${s40c1_cur_sale}&lt;/span&gt;: Gà ở giai đoạn tuổi nào vào thời điểm bán đó?</v>
      </c>
      <c r="H639" s="21" t="s">
        <v>2621</v>
      </c>
      <c r="I639" s="21" t="s">
        <v>106</v>
      </c>
      <c r="J639" s="21"/>
      <c r="K639" s="21" t="s">
        <v>40</v>
      </c>
      <c r="L639" s="21"/>
      <c r="M639" s="21"/>
      <c r="N639" s="21"/>
      <c r="O639" s="21"/>
      <c r="P639" s="21"/>
      <c r="Q639" s="21"/>
      <c r="R639" s="21"/>
      <c r="S639" s="21"/>
    </row>
    <row r="640" spans="1:19" x14ac:dyDescent="0.2">
      <c r="A640" s="21" t="s">
        <v>88</v>
      </c>
      <c r="B640" s="21" t="s">
        <v>1067</v>
      </c>
      <c r="C640" s="21" t="s">
        <v>1088</v>
      </c>
      <c r="D640" s="21" t="s">
        <v>1089</v>
      </c>
      <c r="E640" s="22" t="str">
        <f t="shared" si="77"/>
        <v>s40q404_no_birds</v>
      </c>
      <c r="F640" s="21" t="str">
        <f>CONCATENATE("&lt;span style='color:blue;'&gt;Thông tin bán ${",E637,"}&lt;/span&gt;: Số lượng gà ông/bà bán lần đó là bao nhiêu con?")</f>
        <v>&lt;span style='color:blue;'&gt;Thông tin bán ${s40c1_cur_sale}&lt;/span&gt;: Số lượng gà ông/bà bán lần đó là bao nhiêu con?</v>
      </c>
      <c r="G640" s="21" t="str">
        <f t="shared" si="78"/>
        <v>S40Q404: &lt;span style='color:blue;'&gt;Thông tin bán ${s40c1_cur_sale}&lt;/span&gt;: Số lượng gà ông/bà bán lần đó là bao nhiêu con?</v>
      </c>
      <c r="H640" s="21"/>
      <c r="I640" s="21" t="s">
        <v>106</v>
      </c>
      <c r="J640" s="21"/>
      <c r="K640" s="21" t="s">
        <v>40</v>
      </c>
      <c r="L640" s="21"/>
      <c r="M640" s="21"/>
      <c r="N640" s="21"/>
      <c r="O640" s="21"/>
      <c r="P640" s="21"/>
      <c r="Q640" s="21"/>
      <c r="R640" s="21"/>
      <c r="S640" s="21"/>
    </row>
    <row r="641" spans="1:19" x14ac:dyDescent="0.2">
      <c r="A641" s="21" t="s">
        <v>1090</v>
      </c>
      <c r="B641" s="21" t="s">
        <v>1067</v>
      </c>
      <c r="C641" s="21" t="s">
        <v>1091</v>
      </c>
      <c r="D641" s="21" t="s">
        <v>1092</v>
      </c>
      <c r="E641" s="22" t="str">
        <f t="shared" si="77"/>
        <v>s40q405_price_type</v>
      </c>
      <c r="F641" s="21" t="str">
        <f>CONCATENATE("&lt;span style='color:blue;'&gt;Thông tin bán ${",E637,"}&lt;/span&gt;: Giá bán 1 con/hoặc tổng tiền đợt bán này là bao nhiêu?")</f>
        <v>&lt;span style='color:blue;'&gt;Thông tin bán ${s40c1_cur_sale}&lt;/span&gt;: Giá bán 1 con/hoặc tổng tiền đợt bán này là bao nhiêu?</v>
      </c>
      <c r="G641" s="21" t="str">
        <f t="shared" si="78"/>
        <v>S40Q405: &lt;span style='color:blue;'&gt;Thông tin bán ${s40c1_cur_sale}&lt;/span&gt;: Giá bán 1 con/hoặc tổng tiền đợt bán này là bao nhiêu?</v>
      </c>
      <c r="H641" s="21"/>
      <c r="I641" s="21"/>
      <c r="J641" s="21"/>
      <c r="K641" s="21" t="s">
        <v>40</v>
      </c>
      <c r="L641" s="21" t="s">
        <v>50</v>
      </c>
      <c r="M641" s="21"/>
      <c r="N641" s="21"/>
      <c r="O641" s="21"/>
      <c r="P641" s="21"/>
      <c r="Q641" s="21"/>
      <c r="R641" s="21"/>
      <c r="S641" s="21"/>
    </row>
    <row r="642" spans="1:19" x14ac:dyDescent="0.2">
      <c r="A642" s="21" t="s">
        <v>88</v>
      </c>
      <c r="B642" s="21" t="s">
        <v>1067</v>
      </c>
      <c r="C642" s="21" t="s">
        <v>1093</v>
      </c>
      <c r="D642" s="21" t="s">
        <v>1094</v>
      </c>
      <c r="E642" s="22" t="str">
        <f t="shared" si="77"/>
        <v>s40q405a_total_weight</v>
      </c>
      <c r="F642" s="21" t="str">
        <f>CONCATENATE("&lt;span style='color:blue;'&gt;Thông tin bán ${",E637,"}&lt;/span&gt;: How much was the total weight of birds?")</f>
        <v>&lt;span style='color:blue;'&gt;Thông tin bán ${s40c1_cur_sale}&lt;/span&gt;: How much was the total weight of birds?</v>
      </c>
      <c r="G642" s="21" t="str">
        <f t="shared" si="78"/>
        <v>S40Q405A: &lt;span style='color:blue;'&gt;Thông tin bán ${s40c1_cur_sale}&lt;/span&gt;: How much was the total weight of birds?</v>
      </c>
      <c r="H642" s="21"/>
      <c r="I642" s="21" t="s">
        <v>106</v>
      </c>
      <c r="J642" s="21"/>
      <c r="K642" s="21" t="s">
        <v>40</v>
      </c>
      <c r="L642" s="21"/>
      <c r="M642" s="21" t="str">
        <f>CONCATENATE("selected(${",E641,"},'total_sale')")</f>
        <v>selected(${s40q405_price_type},'total_sale')</v>
      </c>
      <c r="N642" s="21"/>
      <c r="O642" s="21"/>
      <c r="P642" s="21"/>
      <c r="Q642" s="21"/>
      <c r="R642" s="21"/>
      <c r="S642" s="21"/>
    </row>
    <row r="643" spans="1:19" x14ac:dyDescent="0.2">
      <c r="A643" s="21" t="s">
        <v>88</v>
      </c>
      <c r="B643" s="21" t="s">
        <v>1067</v>
      </c>
      <c r="C643" s="21" t="s">
        <v>1095</v>
      </c>
      <c r="D643" s="21" t="s">
        <v>1096</v>
      </c>
      <c r="E643" s="22" t="str">
        <f t="shared" si="77"/>
        <v>s40q405b_approx_birds</v>
      </c>
      <c r="F643" s="21" t="str">
        <f>CONCATENATE("&lt;span style='color:blue;'&gt;Thông tin bán ${",E637,"}&lt;/span&gt;: Đợt bán đó, ông/bà bán bao nhiêu con?")</f>
        <v>&lt;span style='color:blue;'&gt;Thông tin bán ${s40c1_cur_sale}&lt;/span&gt;: Đợt bán đó, ông/bà bán bao nhiêu con?</v>
      </c>
      <c r="G643" s="21" t="str">
        <f t="shared" si="78"/>
        <v>S40Q405B: &lt;span style='color:blue;'&gt;Thông tin bán ${s40c1_cur_sale}&lt;/span&gt;: Đợt bán đó, ông/bà bán bao nhiêu con?</v>
      </c>
      <c r="H643" s="21"/>
      <c r="I643" s="21" t="s">
        <v>106</v>
      </c>
      <c r="J643" s="21"/>
      <c r="K643" s="21" t="s">
        <v>40</v>
      </c>
      <c r="L643" s="21"/>
      <c r="M643" s="21" t="str">
        <f>CONCATENATE("selected(${",E641,"},'total_sale')")</f>
        <v>selected(${s40q405_price_type},'total_sale')</v>
      </c>
      <c r="N643" s="21"/>
      <c r="O643" s="21"/>
      <c r="P643" s="21"/>
      <c r="Q643" s="21"/>
      <c r="R643" s="21"/>
      <c r="S643" s="21"/>
    </row>
    <row r="644" spans="1:19" x14ac:dyDescent="0.2">
      <c r="A644" s="21" t="s">
        <v>88</v>
      </c>
      <c r="B644" s="21" t="s">
        <v>1067</v>
      </c>
      <c r="C644" s="21" t="s">
        <v>1097</v>
      </c>
      <c r="D644" s="21" t="s">
        <v>1098</v>
      </c>
      <c r="E644" s="22" t="str">
        <f t="shared" si="77"/>
        <v>s40q406_price</v>
      </c>
      <c r="F644" s="21" t="str">
        <f>CONCATENATE("&lt;span style='color:blue;'&gt;Thông tin bán ${",E637,"}&lt;/span&gt;: Tổng khối lượng là bao nhiêu kilogram ?")</f>
        <v>&lt;span style='color:blue;'&gt;Thông tin bán ${s40c1_cur_sale}&lt;/span&gt;: Tổng khối lượng là bao nhiêu kilogram ?</v>
      </c>
      <c r="G644" s="21" t="str">
        <f t="shared" si="78"/>
        <v>S40Q406: &lt;span style='color:blue;'&gt;Thông tin bán ${s40c1_cur_sale}&lt;/span&gt;: Tổng khối lượng là bao nhiêu kilogram ?</v>
      </c>
      <c r="H644" s="21"/>
      <c r="I644" s="21" t="s">
        <v>106</v>
      </c>
      <c r="J644" s="21"/>
      <c r="K644" s="21" t="s">
        <v>40</v>
      </c>
      <c r="L644" s="21"/>
      <c r="M644" s="21"/>
      <c r="N644" s="21"/>
      <c r="O644" s="21"/>
      <c r="P644" s="21"/>
      <c r="Q644" s="21"/>
      <c r="R644" s="21"/>
      <c r="S644" s="21"/>
    </row>
    <row r="645" spans="1:19" x14ac:dyDescent="0.2">
      <c r="A645" s="21" t="s">
        <v>111</v>
      </c>
      <c r="B645" s="21" t="s">
        <v>1067</v>
      </c>
      <c r="C645" s="21" t="s">
        <v>1099</v>
      </c>
      <c r="D645" s="21" t="s">
        <v>1100</v>
      </c>
      <c r="E645" s="22" t="str">
        <f t="shared" si="77"/>
        <v>s40q407_weight</v>
      </c>
      <c r="F645" s="21" t="str">
        <f>CONCATENATE("&lt;span style='color:blue;'&gt;Thông tin bán ${",E637,"}&lt;/span&gt;: Khối lượng trung bình của một con là bao nhiêu (kgs)? ")</f>
        <v xml:space="preserve">&lt;span style='color:blue;'&gt;Thông tin bán ${s40c1_cur_sale}&lt;/span&gt;: Khối lượng trung bình của một con là bao nhiêu (kgs)? </v>
      </c>
      <c r="G645" s="21" t="str">
        <f t="shared" si="78"/>
        <v xml:space="preserve">S40Q407: &lt;span style='color:blue;'&gt;Thông tin bán ${s40c1_cur_sale}&lt;/span&gt;: Khối lượng trung bình của một con là bao nhiêu (kgs)? </v>
      </c>
      <c r="H645" s="21"/>
      <c r="I645" s="21" t="s">
        <v>106</v>
      </c>
      <c r="J645" s="21"/>
      <c r="K645" s="21" t="s">
        <v>40</v>
      </c>
      <c r="L645" s="21"/>
      <c r="M645" s="21"/>
      <c r="N645" s="21"/>
      <c r="O645" s="21"/>
      <c r="P645" s="21"/>
      <c r="Q645" s="21"/>
      <c r="R645" s="21"/>
      <c r="S645" s="21"/>
    </row>
    <row r="646" spans="1:19" x14ac:dyDescent="0.2">
      <c r="A646" s="21" t="s">
        <v>1101</v>
      </c>
      <c r="B646" s="21" t="s">
        <v>1067</v>
      </c>
      <c r="C646" s="21" t="s">
        <v>1102</v>
      </c>
      <c r="D646" s="21" t="s">
        <v>1103</v>
      </c>
      <c r="E646" s="22" t="str">
        <f t="shared" si="77"/>
        <v>s40q408_sale_outlets</v>
      </c>
      <c r="F646" s="21" t="str">
        <f>CONCATENATE("&lt;span style='color:blue;'&gt;Thông tin bán ${",E637,"}&lt;/span&gt;: Ông/bà thường bán gà cho ai?")</f>
        <v>&lt;span style='color:blue;'&gt;Thông tin bán ${s40c1_cur_sale}&lt;/span&gt;: Ông/bà thường bán gà cho ai?</v>
      </c>
      <c r="G646" s="21" t="str">
        <f t="shared" si="78"/>
        <v>S40Q408: &lt;span style='color:blue;'&gt;Thông tin bán ${s40c1_cur_sale}&lt;/span&gt;: Ông/bà thường bán gà cho ai?</v>
      </c>
      <c r="H646" s="21"/>
      <c r="I646" s="21"/>
      <c r="J646" s="21"/>
      <c r="K646" s="21" t="s">
        <v>40</v>
      </c>
      <c r="L646" s="21"/>
      <c r="M646" s="21"/>
      <c r="N646" s="21"/>
      <c r="O646" s="21"/>
      <c r="P646" s="21"/>
      <c r="Q646" s="21"/>
      <c r="R646" s="21"/>
      <c r="S646" s="21"/>
    </row>
    <row r="647" spans="1:19" x14ac:dyDescent="0.2">
      <c r="A647" s="21" t="s">
        <v>67</v>
      </c>
      <c r="B647" s="21" t="s">
        <v>1067</v>
      </c>
      <c r="C647" s="21" t="s">
        <v>1104</v>
      </c>
      <c r="D647" s="21" t="s">
        <v>1105</v>
      </c>
      <c r="E647" s="22" t="str">
        <f t="shared" si="77"/>
        <v>s40q409_is_sale</v>
      </c>
      <c r="F647" s="21" t="str">
        <f>CONCATENATE("&lt;span style='color:blue;'&gt;Thông tin bán ${",E637,"}&lt;/span&gt;: Người mua gà có vào đến trại của ông/bà để thu gom gà chuyển đi không?")</f>
        <v>&lt;span style='color:blue;'&gt;Thông tin bán ${s40c1_cur_sale}&lt;/span&gt;: Người mua gà có vào đến trại của ông/bà để thu gom gà chuyển đi không?</v>
      </c>
      <c r="G647" s="21" t="str">
        <f t="shared" si="78"/>
        <v>S40Q409: &lt;span style='color:blue;'&gt;Thông tin bán ${s40c1_cur_sale}&lt;/span&gt;: Người mua gà có vào đến trại của ông/bà để thu gom gà chuyển đi không?</v>
      </c>
      <c r="H647" s="21"/>
      <c r="I647" s="21"/>
      <c r="J647" s="21"/>
      <c r="K647" s="21" t="s">
        <v>40</v>
      </c>
      <c r="L647" s="21" t="s">
        <v>50</v>
      </c>
      <c r="M647" s="21"/>
      <c r="N647" s="21"/>
      <c r="O647" s="21"/>
      <c r="P647" s="21"/>
      <c r="Q647" s="21"/>
      <c r="R647" s="21"/>
      <c r="S647" s="21"/>
    </row>
    <row r="648" spans="1:19" x14ac:dyDescent="0.2">
      <c r="A648" s="21" t="s">
        <v>1106</v>
      </c>
      <c r="B648" s="21" t="s">
        <v>1067</v>
      </c>
      <c r="C648" s="21" t="s">
        <v>1107</v>
      </c>
      <c r="D648" s="21" t="s">
        <v>1108</v>
      </c>
      <c r="E648" s="22" t="str">
        <f t="shared" si="77"/>
        <v>s40q410_sale_type</v>
      </c>
      <c r="F648" s="21" t="s">
        <v>2750</v>
      </c>
      <c r="G648" s="21" t="str">
        <f t="shared" si="78"/>
        <v xml:space="preserve">S40Q410: Gà được bán đi ở hình thức nào? </v>
      </c>
      <c r="H648" s="21"/>
      <c r="I648" s="21"/>
      <c r="J648" s="21"/>
      <c r="K648" s="21" t="s">
        <v>40</v>
      </c>
      <c r="L648" s="21" t="s">
        <v>50</v>
      </c>
      <c r="M648" s="21" t="str">
        <f>CONCATENATE("selected(${",E647,"},'yes')")</f>
        <v>selected(${s40q409_is_sale},'yes')</v>
      </c>
      <c r="N648" s="21"/>
      <c r="O648" s="21"/>
      <c r="P648" s="21"/>
      <c r="Q648" s="21"/>
      <c r="R648" s="21"/>
      <c r="S648" s="21"/>
    </row>
    <row r="649" spans="1:19" x14ac:dyDescent="0.2">
      <c r="A649" s="21" t="s">
        <v>67</v>
      </c>
      <c r="B649" s="21" t="s">
        <v>1067</v>
      </c>
      <c r="C649" s="21" t="s">
        <v>1109</v>
      </c>
      <c r="D649" s="21" t="s">
        <v>1110</v>
      </c>
      <c r="E649" s="22" t="str">
        <f>CONCATENATE(B649,C649,"_",D649)</f>
        <v>s40q411_is_use_own_trans</v>
      </c>
      <c r="F649" s="21" t="str">
        <f>CONCATENATE("&lt;span style='color:blue;'&gt;Thông tin bán ${",E637,"}&lt;/span&gt;: Ông/bà dùng phương tiện vận chuyển của mình để vận chuyển gà đi (hoặc còn sống hay đã giết mổ)?")</f>
        <v>&lt;span style='color:blue;'&gt;Thông tin bán ${s40c1_cur_sale}&lt;/span&gt;: Ông/bà dùng phương tiện vận chuyển của mình để vận chuyển gà đi (hoặc còn sống hay đã giết mổ)?</v>
      </c>
      <c r="G649" s="21" t="str">
        <f>CONCATENATE(UPPER(B649),UPPER(C649),": ",F649)</f>
        <v>S40Q411: &lt;span style='color:blue;'&gt;Thông tin bán ${s40c1_cur_sale}&lt;/span&gt;: Ông/bà dùng phương tiện vận chuyển của mình để vận chuyển gà đi (hoặc còn sống hay đã giết mổ)?</v>
      </c>
      <c r="H649" s="21"/>
      <c r="I649" s="21"/>
      <c r="J649" s="21"/>
      <c r="K649" s="21" t="s">
        <v>40</v>
      </c>
      <c r="L649" s="21" t="s">
        <v>50</v>
      </c>
      <c r="M649" s="21"/>
      <c r="N649" s="21"/>
      <c r="O649" s="21"/>
      <c r="P649" s="21"/>
      <c r="Q649" s="21"/>
      <c r="R649" s="21"/>
      <c r="S649" s="21"/>
    </row>
    <row r="650" spans="1:19" x14ac:dyDescent="0.2">
      <c r="A650" s="21" t="s">
        <v>1111</v>
      </c>
      <c r="B650" s="21" t="s">
        <v>1067</v>
      </c>
      <c r="C650" s="21" t="s">
        <v>1112</v>
      </c>
      <c r="D650" s="21" t="s">
        <v>1113</v>
      </c>
      <c r="E650" s="22" t="str">
        <f t="shared" si="77"/>
        <v>s40q412_is_trans_veh_cleaned</v>
      </c>
      <c r="F650" s="21" t="str">
        <f>CONCATENATE("&lt;span style='color:blue;'&gt;Thông tin bán ${",E637,"}&lt;/span&gt;: Phương tiện vận chuyển (bao gồm cả thùng xe) có được làm sạch và khử trùng trước khi đến trại không?")</f>
        <v>&lt;span style='color:blue;'&gt;Thông tin bán ${s40c1_cur_sale}&lt;/span&gt;: Phương tiện vận chuyển (bao gồm cả thùng xe) có được làm sạch và khử trùng trước khi đến trại không?</v>
      </c>
      <c r="G650" s="21" t="str">
        <f t="shared" si="78"/>
        <v>S40Q412: &lt;span style='color:blue;'&gt;Thông tin bán ${s40c1_cur_sale}&lt;/span&gt;: Phương tiện vận chuyển (bao gồm cả thùng xe) có được làm sạch và khử trùng trước khi đến trại không?</v>
      </c>
      <c r="H650" s="21"/>
      <c r="I650" s="21"/>
      <c r="J650" s="21"/>
      <c r="K650" s="21" t="s">
        <v>40</v>
      </c>
      <c r="L650" s="21" t="s">
        <v>50</v>
      </c>
      <c r="M650" s="21"/>
      <c r="N650" s="21"/>
      <c r="O650" s="21"/>
      <c r="P650" s="21"/>
      <c r="Q650" s="21"/>
      <c r="R650" s="21"/>
      <c r="S650" s="21"/>
    </row>
    <row r="651" spans="1:19" x14ac:dyDescent="0.2">
      <c r="A651" s="21" t="s">
        <v>88</v>
      </c>
      <c r="B651" s="21" t="s">
        <v>1067</v>
      </c>
      <c r="C651" s="21" t="s">
        <v>1114</v>
      </c>
      <c r="D651" s="21" t="s">
        <v>1115</v>
      </c>
      <c r="E651" s="22" t="str">
        <f t="shared" si="77"/>
        <v>s40q413_trans_cost</v>
      </c>
      <c r="F651" s="21" t="str">
        <f>CONCATENATE("&lt;span style='color:blue;'&gt;Thông tin bán ${",E637,"}&lt;/span&gt;: Chi phí vận chuyển là bao nhiêu tiền?")</f>
        <v>&lt;span style='color:blue;'&gt;Thông tin bán ${s40c1_cur_sale}&lt;/span&gt;: Chi phí vận chuyển là bao nhiêu tiền?</v>
      </c>
      <c r="G651" s="21" t="str">
        <f t="shared" si="78"/>
        <v>S40Q413: &lt;span style='color:blue;'&gt;Thông tin bán ${s40c1_cur_sale}&lt;/span&gt;: Chi phí vận chuyển là bao nhiêu tiền?</v>
      </c>
      <c r="H651" s="21"/>
      <c r="I651" s="21" t="s">
        <v>184</v>
      </c>
      <c r="J651" s="21"/>
      <c r="K651" s="21" t="s">
        <v>40</v>
      </c>
      <c r="L651" s="21"/>
      <c r="M651" s="21"/>
      <c r="N651" s="21"/>
      <c r="O651" s="21"/>
      <c r="P651" s="21"/>
      <c r="Q651" s="21"/>
      <c r="R651" s="21"/>
      <c r="S651" s="21"/>
    </row>
    <row r="652" spans="1:19" x14ac:dyDescent="0.2">
      <c r="A652" s="4" t="s">
        <v>74</v>
      </c>
      <c r="E652" s="6"/>
    </row>
    <row r="653" spans="1:19" x14ac:dyDescent="0.2">
      <c r="A653" s="4" t="s">
        <v>147</v>
      </c>
      <c r="C653" s="4" t="s">
        <v>43</v>
      </c>
    </row>
    <row r="654" spans="1:19" x14ac:dyDescent="0.2">
      <c r="A654" s="4" t="s">
        <v>74</v>
      </c>
      <c r="C654" s="4" t="s">
        <v>43</v>
      </c>
      <c r="E654" s="6"/>
    </row>
    <row r="655" spans="1:19" x14ac:dyDescent="0.2">
      <c r="A655" s="8" t="s">
        <v>41</v>
      </c>
      <c r="B655" s="8" t="s">
        <v>1116</v>
      </c>
      <c r="C655" s="8" t="s">
        <v>1117</v>
      </c>
      <c r="D655" s="8" t="s">
        <v>1118</v>
      </c>
      <c r="E655" s="9" t="str">
        <f t="shared" ref="E655:E662" si="79">CONCATENATE(B655,C655,"_",D655)</f>
        <v>s42q414a_grp_scant_details_sales</v>
      </c>
      <c r="F655" s="8" t="s">
        <v>2742</v>
      </c>
      <c r="G655" s="8" t="str">
        <f t="shared" ref="G655:G662" si="80">CONCATENATE(UPPER(B655),UPPER(C655),": ",F655)</f>
        <v>S42Q414A: Thông tin chung về xuất bán</v>
      </c>
      <c r="H655" s="8"/>
      <c r="I655" s="8"/>
      <c r="J655" s="8"/>
      <c r="K655" s="8"/>
      <c r="L655" s="8"/>
      <c r="M655" s="8" t="str">
        <f>CONCATENATE("selected(${",E633,"},'many_sales_no_detail')")</f>
        <v>selected(${s40q401e_sales_recall},'many_sales_no_detail')</v>
      </c>
      <c r="N655" s="8"/>
      <c r="O655" s="8"/>
      <c r="P655" s="8"/>
      <c r="Q655" s="8"/>
      <c r="R655" s="8"/>
      <c r="S655" s="8"/>
    </row>
    <row r="656" spans="1:19" x14ac:dyDescent="0.2">
      <c r="A656" s="8" t="s">
        <v>88</v>
      </c>
      <c r="B656" s="8" t="s">
        <v>1116</v>
      </c>
      <c r="C656" s="8" t="s">
        <v>1119</v>
      </c>
      <c r="D656" s="8" t="s">
        <v>1120</v>
      </c>
      <c r="E656" s="9" t="str">
        <f t="shared" si="79"/>
        <v>s42q414b_no_sold</v>
      </c>
      <c r="F656" s="8" t="s">
        <v>2743</v>
      </c>
      <c r="G656" s="8" t="str">
        <f t="shared" si="80"/>
        <v>S42Q414B: Tổng số lượng gà ông/bà đã bán trong đợt đó là bao nhiêu con?</v>
      </c>
      <c r="H656" s="8"/>
      <c r="I656" s="8"/>
      <c r="J656" s="8"/>
      <c r="K656" s="8" t="s">
        <v>40</v>
      </c>
      <c r="L656" s="8"/>
      <c r="M656" s="8"/>
      <c r="N656" s="8"/>
      <c r="O656" s="8"/>
      <c r="P656" s="8"/>
      <c r="Q656" s="8"/>
      <c r="R656" s="8"/>
      <c r="S656" s="8"/>
    </row>
    <row r="657" spans="1:19" x14ac:dyDescent="0.2">
      <c r="A657" s="8" t="s">
        <v>111</v>
      </c>
      <c r="B657" s="8" t="s">
        <v>1116</v>
      </c>
      <c r="C657" s="8" t="s">
        <v>1121</v>
      </c>
      <c r="D657" s="8" t="s">
        <v>1122</v>
      </c>
      <c r="E657" s="9" t="str">
        <f t="shared" si="79"/>
        <v>s42q414c_avg_age</v>
      </c>
      <c r="F657" s="8" t="s">
        <v>2744</v>
      </c>
      <c r="G657" s="8" t="str">
        <f t="shared" si="80"/>
        <v>S42Q414C: Tính trung bình, ông/bà thường bán gà ở lứa tuổi nào? (Lưu ý tính bằng tuần)?</v>
      </c>
      <c r="H657" s="8" t="s">
        <v>2621</v>
      </c>
      <c r="I657" s="8"/>
      <c r="J657" s="8"/>
      <c r="K657" s="8" t="s">
        <v>40</v>
      </c>
      <c r="L657" s="8"/>
      <c r="M657" s="8"/>
      <c r="N657" s="8"/>
      <c r="O657" s="8"/>
      <c r="P657" s="8"/>
      <c r="Q657" s="8"/>
      <c r="R657" s="8"/>
      <c r="S657" s="8"/>
    </row>
    <row r="658" spans="1:19" x14ac:dyDescent="0.2">
      <c r="A658" s="8" t="s">
        <v>88</v>
      </c>
      <c r="B658" s="8" t="s">
        <v>1116</v>
      </c>
      <c r="C658" s="8" t="s">
        <v>1123</v>
      </c>
      <c r="D658" s="8" t="s">
        <v>1124</v>
      </c>
      <c r="E658" s="9" t="str">
        <f t="shared" si="79"/>
        <v>s42q414d_avg_price</v>
      </c>
      <c r="F658" s="8" t="s">
        <v>2745</v>
      </c>
      <c r="G658" s="8" t="str">
        <f t="shared" si="80"/>
        <v>S42Q414D: Tính trung bình, ông/bà bán bao nhiêu tiền một con? (Lưu ý: nghìn VNĐ/con)</v>
      </c>
      <c r="H658" s="8"/>
      <c r="I658" s="8"/>
      <c r="J658" s="8"/>
      <c r="K658" s="8" t="s">
        <v>40</v>
      </c>
      <c r="L658" s="8"/>
      <c r="M658" s="8"/>
      <c r="N658" s="8"/>
      <c r="O658" s="8"/>
      <c r="P658" s="8"/>
      <c r="Q658" s="8"/>
      <c r="R658" s="8"/>
      <c r="S658" s="8"/>
    </row>
    <row r="659" spans="1:19" x14ac:dyDescent="0.2">
      <c r="A659" s="8" t="s">
        <v>111</v>
      </c>
      <c r="B659" s="8" t="s">
        <v>1116</v>
      </c>
      <c r="C659" s="8" t="s">
        <v>1125</v>
      </c>
      <c r="D659" s="8" t="s">
        <v>1126</v>
      </c>
      <c r="E659" s="9" t="str">
        <f t="shared" si="79"/>
        <v>s42q414e_avg_weight</v>
      </c>
      <c r="F659" s="8" t="s">
        <v>2746</v>
      </c>
      <c r="G659" s="8" t="str">
        <f t="shared" si="80"/>
        <v>S42Q414E: Trung bình, mỗi con gà khi bán nặng khoảng bao nhiêu kilogram?</v>
      </c>
      <c r="H659" s="8"/>
      <c r="I659" s="8"/>
      <c r="J659" s="8"/>
      <c r="K659" s="8" t="s">
        <v>40</v>
      </c>
      <c r="L659" s="8"/>
      <c r="M659" s="8"/>
      <c r="N659" s="8"/>
      <c r="O659" s="8"/>
      <c r="P659" s="8"/>
      <c r="Q659" s="8"/>
      <c r="R659" s="8"/>
      <c r="S659" s="8"/>
    </row>
    <row r="660" spans="1:19" x14ac:dyDescent="0.2">
      <c r="A660" s="8" t="s">
        <v>1101</v>
      </c>
      <c r="B660" s="8" t="s">
        <v>1116</v>
      </c>
      <c r="C660" s="8" t="s">
        <v>1127</v>
      </c>
      <c r="D660" s="8" t="s">
        <v>1128</v>
      </c>
      <c r="E660" s="9" t="str">
        <f t="shared" si="79"/>
        <v>s42q414f_all_sale_outlets</v>
      </c>
      <c r="F660" s="8" t="s">
        <v>2747</v>
      </c>
      <c r="G660" s="8" t="str">
        <f t="shared" si="80"/>
        <v>S42Q414F: Ông/bà thường bán cho ai?</v>
      </c>
      <c r="H660" s="8"/>
      <c r="I660" s="8"/>
      <c r="J660" s="8"/>
      <c r="K660" s="8" t="s">
        <v>40</v>
      </c>
      <c r="L660" s="8"/>
      <c r="M660" s="8"/>
      <c r="N660" s="8"/>
      <c r="O660" s="8"/>
      <c r="P660" s="8"/>
      <c r="Q660" s="8"/>
      <c r="R660" s="8"/>
      <c r="S660" s="8"/>
    </row>
    <row r="661" spans="1:19" x14ac:dyDescent="0.2">
      <c r="A661" s="8" t="s">
        <v>1129</v>
      </c>
      <c r="B661" s="8" t="s">
        <v>1116</v>
      </c>
      <c r="C661" s="8" t="s">
        <v>1130</v>
      </c>
      <c r="D661" s="8" t="s">
        <v>1131</v>
      </c>
      <c r="E661" s="9" t="str">
        <f t="shared" si="79"/>
        <v>s42q414g_main_sale_outlets</v>
      </c>
      <c r="F661" s="8" t="s">
        <v>2748</v>
      </c>
      <c r="G661" s="8" t="str">
        <f t="shared" si="80"/>
        <v>S42Q414G: Ông/bà thường bàn cho ai/qua kênh nào &lt;span style='color:blue;'&gt; NHẤT &lt;/span&gt; ?</v>
      </c>
      <c r="H661" s="8"/>
      <c r="I661" s="8"/>
      <c r="J661" s="8"/>
      <c r="K661" s="8" t="s">
        <v>40</v>
      </c>
      <c r="L661" s="8" t="s">
        <v>50</v>
      </c>
      <c r="M661" s="8"/>
      <c r="N661" s="8"/>
      <c r="O661" s="8"/>
      <c r="P661" s="8"/>
      <c r="Q661" s="8"/>
      <c r="R661" s="8"/>
      <c r="S661" s="8"/>
    </row>
    <row r="662" spans="1:19" x14ac:dyDescent="0.2">
      <c r="A662" s="8" t="s">
        <v>1132</v>
      </c>
      <c r="B662" s="8" t="s">
        <v>1116</v>
      </c>
      <c r="C662" s="8" t="s">
        <v>1133</v>
      </c>
      <c r="D662" s="8" t="s">
        <v>1134</v>
      </c>
      <c r="E662" s="9" t="str">
        <f t="shared" si="79"/>
        <v>s42q414h_collect_type</v>
      </c>
      <c r="F662" s="8" t="s">
        <v>2749</v>
      </c>
      <c r="G662" s="8" t="str">
        <f t="shared" si="80"/>
        <v>S42Q414H: Người mua gà có đến trại của ông/bà để bắt gà không?</v>
      </c>
      <c r="H662" s="8"/>
      <c r="I662" s="8"/>
      <c r="J662" s="8"/>
      <c r="K662" s="8" t="s">
        <v>40</v>
      </c>
      <c r="L662" s="8"/>
      <c r="M662" s="8"/>
      <c r="N662" s="8"/>
      <c r="O662" s="8"/>
      <c r="P662" s="8"/>
      <c r="Q662" s="8"/>
      <c r="R662" s="8"/>
      <c r="S662" s="8"/>
    </row>
    <row r="663" spans="1:19" x14ac:dyDescent="0.2">
      <c r="A663" s="8" t="s">
        <v>1106</v>
      </c>
      <c r="B663" s="8" t="s">
        <v>1116</v>
      </c>
      <c r="C663" s="8" t="s">
        <v>1135</v>
      </c>
      <c r="D663" s="8" t="s">
        <v>1108</v>
      </c>
      <c r="E663" s="9" t="str">
        <f>CONCATENATE(B663,C663,"_",D663)</f>
        <v>s42q414j_sale_type</v>
      </c>
      <c r="F663" s="8" t="s">
        <v>2750</v>
      </c>
      <c r="G663" s="8" t="str">
        <f>CONCATENATE(UPPER(B663),UPPER(C663),": ",F663)</f>
        <v xml:space="preserve">S42Q414J: Gà được bán đi ở hình thức nào? </v>
      </c>
      <c r="H663" s="8"/>
      <c r="I663" s="8"/>
      <c r="J663" s="8"/>
      <c r="K663" s="8" t="s">
        <v>40</v>
      </c>
      <c r="L663" s="8" t="s">
        <v>50</v>
      </c>
      <c r="M663" s="8" t="str">
        <f>CONCATENATE("selected(${",E662,"},'came2farm')")</f>
        <v>selected(${s42q414h_collect_type},'came2farm')</v>
      </c>
      <c r="N663" s="8"/>
      <c r="O663" s="8"/>
      <c r="P663" s="8"/>
      <c r="Q663" s="8"/>
      <c r="R663" s="8"/>
      <c r="S663" s="8"/>
    </row>
    <row r="664" spans="1:19" x14ac:dyDescent="0.2">
      <c r="A664" s="8" t="s">
        <v>67</v>
      </c>
      <c r="B664" s="8" t="s">
        <v>1116</v>
      </c>
      <c r="C664" s="8" t="s">
        <v>1136</v>
      </c>
      <c r="D664" s="8" t="s">
        <v>1110</v>
      </c>
      <c r="E664" s="9" t="str">
        <f>CONCATENATE(B664,C664,"_",D664)</f>
        <v>s42q414k_is_use_own_trans</v>
      </c>
      <c r="F664" s="8" t="s">
        <v>2751</v>
      </c>
      <c r="G664" s="8" t="str">
        <f>CONCATENATE(UPPER(B664),UPPER(C664),": ",F664)</f>
        <v>S42Q414K: Ông/bà có dùng phương tiện vận chuyển của minh để chuyển gà đi không? (gà còn sống hoặc đã giết mổ)?</v>
      </c>
      <c r="H664" s="8"/>
      <c r="I664" s="8"/>
      <c r="J664" s="8"/>
      <c r="K664" s="8" t="s">
        <v>40</v>
      </c>
      <c r="L664" s="8" t="s">
        <v>50</v>
      </c>
      <c r="M664" s="8" t="str">
        <f>CONCATENATE("selected(${",E662,"},'i_delivered')")</f>
        <v>selected(${s42q414h_collect_type},'i_delivered')</v>
      </c>
      <c r="N664" s="8"/>
      <c r="O664" s="8"/>
      <c r="P664" s="8"/>
      <c r="Q664" s="8"/>
      <c r="R664" s="8"/>
      <c r="S664" s="8"/>
    </row>
    <row r="665" spans="1:19" x14ac:dyDescent="0.2">
      <c r="A665" s="8" t="s">
        <v>1111</v>
      </c>
      <c r="B665" s="8" t="s">
        <v>1116</v>
      </c>
      <c r="C665" s="8" t="s">
        <v>1137</v>
      </c>
      <c r="D665" s="8" t="s">
        <v>1113</v>
      </c>
      <c r="E665" s="9" t="str">
        <f>CONCATENATE(B665,C665,"_",D665)</f>
        <v>s42q414l_is_trans_veh_cleaned</v>
      </c>
      <c r="F665" s="8" t="s">
        <v>2752</v>
      </c>
      <c r="G665" s="8" t="str">
        <f>CONCATENATE(UPPER(B665),UPPER(C665),": ",F665)</f>
        <v>S42Q414L: Phương tiện vận chuyển (bao gồm cả thùng xe) có được làm sạch và khử trùng trước khi đến trại không?</v>
      </c>
      <c r="H665" s="8"/>
      <c r="I665" s="8"/>
      <c r="J665" s="8"/>
      <c r="K665" s="8" t="s">
        <v>40</v>
      </c>
      <c r="L665" s="8" t="s">
        <v>50</v>
      </c>
      <c r="M665" s="8" t="str">
        <f>CONCATENATE("selected(${",E662,"},'i_delivered')")</f>
        <v>selected(${s42q414h_collect_type},'i_delivered')</v>
      </c>
      <c r="N665" s="8"/>
      <c r="O665" s="8"/>
      <c r="P665" s="8"/>
      <c r="Q665" s="8"/>
      <c r="R665" s="8"/>
      <c r="S665" s="8"/>
    </row>
    <row r="666" spans="1:19" x14ac:dyDescent="0.2">
      <c r="A666" s="8" t="s">
        <v>88</v>
      </c>
      <c r="B666" s="8" t="s">
        <v>1116</v>
      </c>
      <c r="C666" s="8" t="s">
        <v>1138</v>
      </c>
      <c r="D666" s="8" t="s">
        <v>1139</v>
      </c>
      <c r="E666" s="9" t="str">
        <f>CONCATENATE(B666,C666,"_",D666)</f>
        <v>s42q414m_no_times</v>
      </c>
      <c r="F666" s="8" t="s">
        <v>2755</v>
      </c>
      <c r="G666" s="8" t="str">
        <f>CONCATENATE(UPPER(B666),UPPER(C666),": ",F666)</f>
        <v>S42Q414M: Ông/bà đã vận chuyển khoảng bao nhiêu lần đến cho người mua gà?</v>
      </c>
      <c r="H666" s="8"/>
      <c r="I666" s="8" t="s">
        <v>106</v>
      </c>
      <c r="J666" s="8"/>
      <c r="K666" s="8" t="s">
        <v>40</v>
      </c>
      <c r="L666" s="8"/>
      <c r="M666" s="8" t="str">
        <f>CONCATENATE("selected(${",E662,"},'i_delivered')")</f>
        <v>selected(${s42q414h_collect_type},'i_delivered')</v>
      </c>
      <c r="N666" s="8"/>
      <c r="O666" s="8"/>
      <c r="P666" s="8"/>
      <c r="Q666" s="8"/>
      <c r="R666" s="8"/>
      <c r="S666" s="8"/>
    </row>
    <row r="667" spans="1:19" x14ac:dyDescent="0.2">
      <c r="A667" s="8" t="s">
        <v>88</v>
      </c>
      <c r="B667" s="8" t="s">
        <v>1116</v>
      </c>
      <c r="C667" s="8" t="s">
        <v>1140</v>
      </c>
      <c r="D667" s="8" t="s">
        <v>1115</v>
      </c>
      <c r="E667" s="9" t="str">
        <f>CONCATENATE(B667,C667,"_",D667)</f>
        <v>s42q414n_trans_cost</v>
      </c>
      <c r="F667" s="8" t="s">
        <v>2753</v>
      </c>
      <c r="G667" s="8" t="str">
        <f>CONCATENATE(UPPER(B667),UPPER(C667),": ",F667)</f>
        <v>S42Q414N: Tổng chi phí vận chuyển là khoảng bao nhiêu tiền (nghìn VNĐ)?</v>
      </c>
      <c r="H667" s="8"/>
      <c r="I667" s="8" t="s">
        <v>184</v>
      </c>
      <c r="J667" s="8"/>
      <c r="K667" s="8" t="s">
        <v>40</v>
      </c>
      <c r="L667" s="8"/>
      <c r="M667" s="8" t="str">
        <f>CONCATENATE("selected(${",E662,"},'i_delivered')")</f>
        <v>selected(${s42q414h_collect_type},'i_delivered')</v>
      </c>
      <c r="N667" s="8"/>
      <c r="O667" s="8"/>
      <c r="P667" s="8"/>
      <c r="Q667" s="8"/>
      <c r="R667" s="8"/>
      <c r="S667" s="8"/>
    </row>
    <row r="668" spans="1:19" x14ac:dyDescent="0.2">
      <c r="A668" s="8" t="s">
        <v>74</v>
      </c>
      <c r="B668" s="8"/>
      <c r="C668" s="8"/>
      <c r="D668" s="8"/>
      <c r="E668" s="8"/>
      <c r="F668" s="8"/>
      <c r="G668" s="8"/>
      <c r="H668" s="8"/>
      <c r="I668" s="8"/>
      <c r="J668" s="8"/>
      <c r="K668" s="8"/>
      <c r="L668" s="8"/>
      <c r="M668" s="8"/>
      <c r="N668" s="8"/>
      <c r="O668" s="8"/>
      <c r="P668" s="8"/>
      <c r="Q668" s="8"/>
      <c r="R668" s="8"/>
      <c r="S668" s="8"/>
    </row>
    <row r="669" spans="1:19" x14ac:dyDescent="0.2">
      <c r="A669" s="4" t="s">
        <v>339</v>
      </c>
      <c r="B669" s="4" t="s">
        <v>1141</v>
      </c>
      <c r="C669" s="4" t="s">
        <v>1142</v>
      </c>
      <c r="D669" s="4" t="s">
        <v>1143</v>
      </c>
      <c r="E669" s="4" t="str">
        <f>CONCATENATE(B669,C669,"_",D669)</f>
        <v>s41q415_comments</v>
      </c>
      <c r="F669" s="4" t="s">
        <v>2754</v>
      </c>
      <c r="G669" s="4" t="str">
        <f>CONCATENATE(UPPER(B669),UPPER(C669),": ",F669)</f>
        <v>S41Q415: Người phỏng vấn viên có góp ý nào khác cho hộ chăn nuôi phỏng vấn này không?</v>
      </c>
    </row>
  </sheetData>
  <autoFilter ref="A1:S669" xr:uid="{00000000-0009-0000-0000-000000000000}"/>
  <phoneticPr fontId="3" type="noConversion"/>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35"/>
  <sheetViews>
    <sheetView workbookViewId="0">
      <pane ySplit="1" topLeftCell="A205" activePane="bottomLeft" state="frozen"/>
      <selection pane="bottomLeft" activeCell="B49" sqref="B49"/>
    </sheetView>
  </sheetViews>
  <sheetFormatPr defaultColWidth="11.25" defaultRowHeight="15.75" x14ac:dyDescent="0.25"/>
  <cols>
    <col min="1" max="1" width="23.375" customWidth="1"/>
    <col min="2" max="2" width="22.25" bestFit="1" customWidth="1"/>
    <col min="3" max="3" width="43.375" customWidth="1"/>
    <col min="4" max="4" width="14.25" customWidth="1"/>
  </cols>
  <sheetData>
    <row r="1" spans="1:4" x14ac:dyDescent="0.25">
      <c r="A1" t="s">
        <v>1144</v>
      </c>
      <c r="B1" t="s">
        <v>1</v>
      </c>
      <c r="C1" t="s">
        <v>3</v>
      </c>
      <c r="D1" t="s">
        <v>1145</v>
      </c>
    </row>
    <row r="2" spans="1:4" x14ac:dyDescent="0.25">
      <c r="A2" t="s">
        <v>1146</v>
      </c>
      <c r="B2" t="s">
        <v>40</v>
      </c>
      <c r="C2" t="s">
        <v>1147</v>
      </c>
    </row>
    <row r="3" spans="1:4" x14ac:dyDescent="0.25">
      <c r="A3" t="s">
        <v>1146</v>
      </c>
      <c r="B3" s="2" t="s">
        <v>1148</v>
      </c>
      <c r="C3" t="s">
        <v>1149</v>
      </c>
    </row>
    <row r="4" spans="1:4" x14ac:dyDescent="0.25">
      <c r="B4" s="2"/>
    </row>
    <row r="5" spans="1:4" x14ac:dyDescent="0.25">
      <c r="A5" t="s">
        <v>1150</v>
      </c>
      <c r="B5" t="s">
        <v>40</v>
      </c>
      <c r="C5" t="s">
        <v>1147</v>
      </c>
    </row>
    <row r="6" spans="1:4" x14ac:dyDescent="0.25">
      <c r="A6" t="s">
        <v>1150</v>
      </c>
      <c r="B6" s="2" t="s">
        <v>1148</v>
      </c>
      <c r="C6" t="s">
        <v>1149</v>
      </c>
    </row>
    <row r="7" spans="1:4" x14ac:dyDescent="0.25">
      <c r="A7" t="s">
        <v>1150</v>
      </c>
      <c r="B7" s="2" t="s">
        <v>1151</v>
      </c>
      <c r="C7" t="s">
        <v>1152</v>
      </c>
    </row>
    <row r="8" spans="1:4" x14ac:dyDescent="0.25">
      <c r="B8" s="2"/>
    </row>
    <row r="9" spans="1:4" x14ac:dyDescent="0.25">
      <c r="A9" t="s">
        <v>1153</v>
      </c>
      <c r="B9" t="s">
        <v>40</v>
      </c>
      <c r="C9" t="s">
        <v>1147</v>
      </c>
    </row>
    <row r="10" spans="1:4" x14ac:dyDescent="0.25">
      <c r="A10" t="s">
        <v>1153</v>
      </c>
      <c r="B10" s="2" t="s">
        <v>1148</v>
      </c>
      <c r="C10" t="s">
        <v>1149</v>
      </c>
    </row>
    <row r="11" spans="1:4" x14ac:dyDescent="0.25">
      <c r="A11" t="s">
        <v>1153</v>
      </c>
      <c r="B11" s="2" t="s">
        <v>1151</v>
      </c>
      <c r="C11" t="s">
        <v>1154</v>
      </c>
    </row>
    <row r="12" spans="1:4" x14ac:dyDescent="0.25">
      <c r="B12" s="2"/>
    </row>
    <row r="13" spans="1:4" x14ac:dyDescent="0.25">
      <c r="A13" t="s">
        <v>1155</v>
      </c>
      <c r="B13" t="s">
        <v>1156</v>
      </c>
      <c r="C13" t="s">
        <v>1157</v>
      </c>
    </row>
    <row r="14" spans="1:4" x14ac:dyDescent="0.25">
      <c r="A14" t="s">
        <v>1155</v>
      </c>
      <c r="B14" t="s">
        <v>1158</v>
      </c>
      <c r="C14" t="s">
        <v>1159</v>
      </c>
    </row>
    <row r="15" spans="1:4" x14ac:dyDescent="0.25">
      <c r="A15" t="s">
        <v>1155</v>
      </c>
      <c r="B15" t="s">
        <v>1148</v>
      </c>
      <c r="C15" t="s">
        <v>1149</v>
      </c>
    </row>
    <row r="17" spans="1:3" x14ac:dyDescent="0.25">
      <c r="A17" t="s">
        <v>1160</v>
      </c>
      <c r="B17" t="s">
        <v>1156</v>
      </c>
      <c r="C17" t="s">
        <v>1161</v>
      </c>
    </row>
    <row r="18" spans="1:3" x14ac:dyDescent="0.25">
      <c r="A18" t="s">
        <v>1160</v>
      </c>
      <c r="B18" t="s">
        <v>1158</v>
      </c>
      <c r="C18" t="s">
        <v>1162</v>
      </c>
    </row>
    <row r="19" spans="1:3" x14ac:dyDescent="0.25">
      <c r="A19" t="s">
        <v>1160</v>
      </c>
      <c r="B19" t="s">
        <v>1163</v>
      </c>
      <c r="C19" t="s">
        <v>1164</v>
      </c>
    </row>
    <row r="20" spans="1:3" x14ac:dyDescent="0.25">
      <c r="A20" t="s">
        <v>1160</v>
      </c>
      <c r="B20" t="s">
        <v>1165</v>
      </c>
      <c r="C20" t="s">
        <v>1152</v>
      </c>
    </row>
    <row r="22" spans="1:3" x14ac:dyDescent="0.25">
      <c r="A22" t="s">
        <v>1166</v>
      </c>
      <c r="B22" t="s">
        <v>1167</v>
      </c>
      <c r="C22" t="s">
        <v>1168</v>
      </c>
    </row>
    <row r="23" spans="1:3" x14ac:dyDescent="0.25">
      <c r="A23" t="s">
        <v>1166</v>
      </c>
      <c r="B23" t="s">
        <v>1169</v>
      </c>
      <c r="C23" t="s">
        <v>1170</v>
      </c>
    </row>
    <row r="24" spans="1:3" x14ac:dyDescent="0.25">
      <c r="A24" t="s">
        <v>1166</v>
      </c>
      <c r="B24" t="s">
        <v>1148</v>
      </c>
      <c r="C24" t="s">
        <v>1149</v>
      </c>
    </row>
    <row r="26" spans="1:3" x14ac:dyDescent="0.25">
      <c r="A26" t="s">
        <v>1171</v>
      </c>
      <c r="B26" t="s">
        <v>40</v>
      </c>
      <c r="C26" t="s">
        <v>1147</v>
      </c>
    </row>
    <row r="27" spans="1:3" x14ac:dyDescent="0.25">
      <c r="A27" t="s">
        <v>1171</v>
      </c>
      <c r="B27" t="s">
        <v>1148</v>
      </c>
      <c r="C27" t="s">
        <v>1149</v>
      </c>
    </row>
    <row r="28" spans="1:3" x14ac:dyDescent="0.25">
      <c r="A28" t="s">
        <v>1171</v>
      </c>
      <c r="B28" t="s">
        <v>1172</v>
      </c>
      <c r="C28" t="s">
        <v>1173</v>
      </c>
    </row>
    <row r="29" spans="1:3" x14ac:dyDescent="0.25">
      <c r="B29" s="2"/>
    </row>
    <row r="30" spans="1:3" x14ac:dyDescent="0.25">
      <c r="A30" t="s">
        <v>1174</v>
      </c>
      <c r="B30" s="2" t="s">
        <v>1175</v>
      </c>
      <c r="C30" t="s">
        <v>1176</v>
      </c>
    </row>
    <row r="31" spans="1:3" x14ac:dyDescent="0.25">
      <c r="A31" t="s">
        <v>1174</v>
      </c>
      <c r="B31" s="2" t="s">
        <v>1177</v>
      </c>
      <c r="C31" t="s">
        <v>1178</v>
      </c>
    </row>
    <row r="33" spans="1:3" x14ac:dyDescent="0.25">
      <c r="A33" t="s">
        <v>86</v>
      </c>
      <c r="B33" t="s">
        <v>1179</v>
      </c>
      <c r="C33" t="s">
        <v>1180</v>
      </c>
    </row>
    <row r="34" spans="1:3" x14ac:dyDescent="0.25">
      <c r="A34" t="s">
        <v>86</v>
      </c>
      <c r="B34" t="s">
        <v>1181</v>
      </c>
      <c r="C34" t="s">
        <v>1182</v>
      </c>
    </row>
    <row r="36" spans="1:3" x14ac:dyDescent="0.25">
      <c r="A36" t="s">
        <v>97</v>
      </c>
      <c r="B36" t="s">
        <v>1183</v>
      </c>
      <c r="C36" t="s">
        <v>1184</v>
      </c>
    </row>
    <row r="37" spans="1:3" x14ac:dyDescent="0.25">
      <c r="A37" t="s">
        <v>97</v>
      </c>
      <c r="B37" t="s">
        <v>1185</v>
      </c>
      <c r="C37" t="s">
        <v>1186</v>
      </c>
    </row>
    <row r="38" spans="1:3" x14ac:dyDescent="0.25">
      <c r="A38" t="s">
        <v>97</v>
      </c>
      <c r="B38" t="s">
        <v>1187</v>
      </c>
      <c r="C38" t="s">
        <v>1188</v>
      </c>
    </row>
    <row r="39" spans="1:3" x14ac:dyDescent="0.25">
      <c r="A39" t="s">
        <v>97</v>
      </c>
      <c r="B39" t="s">
        <v>1189</v>
      </c>
      <c r="C39" t="s">
        <v>1190</v>
      </c>
    </row>
    <row r="41" spans="1:3" x14ac:dyDescent="0.25">
      <c r="A41" t="s">
        <v>1191</v>
      </c>
      <c r="B41" t="s">
        <v>2781</v>
      </c>
      <c r="C41" t="s">
        <v>1192</v>
      </c>
    </row>
    <row r="42" spans="1:3" x14ac:dyDescent="0.25">
      <c r="A42" t="s">
        <v>1191</v>
      </c>
      <c r="B42" t="s">
        <v>2780</v>
      </c>
      <c r="C42" t="s">
        <v>1193</v>
      </c>
    </row>
    <row r="43" spans="1:3" x14ac:dyDescent="0.25">
      <c r="A43" t="s">
        <v>1191</v>
      </c>
      <c r="B43" t="s">
        <v>2779</v>
      </c>
      <c r="C43" t="s">
        <v>1194</v>
      </c>
    </row>
    <row r="44" spans="1:3" s="78" customFormat="1" x14ac:dyDescent="0.25">
      <c r="A44" s="78" t="s">
        <v>1191</v>
      </c>
      <c r="B44" s="78" t="s">
        <v>2778</v>
      </c>
      <c r="C44" s="78" t="s">
        <v>1196</v>
      </c>
    </row>
    <row r="45" spans="1:3" x14ac:dyDescent="0.25">
      <c r="A45" t="s">
        <v>1191</v>
      </c>
      <c r="B45" t="s">
        <v>1195</v>
      </c>
      <c r="C45" t="s">
        <v>1197</v>
      </c>
    </row>
    <row r="47" spans="1:3" x14ac:dyDescent="0.25">
      <c r="A47" t="s">
        <v>276</v>
      </c>
      <c r="B47" t="s">
        <v>1198</v>
      </c>
      <c r="C47" t="s">
        <v>1199</v>
      </c>
    </row>
    <row r="48" spans="1:3" x14ac:dyDescent="0.25">
      <c r="A48" t="s">
        <v>276</v>
      </c>
      <c r="B48" t="s">
        <v>1200</v>
      </c>
      <c r="C48" t="s">
        <v>1201</v>
      </c>
    </row>
    <row r="49" spans="1:3" x14ac:dyDescent="0.25">
      <c r="A49" t="s">
        <v>276</v>
      </c>
      <c r="B49" t="s">
        <v>1202</v>
      </c>
      <c r="C49" t="s">
        <v>1203</v>
      </c>
    </row>
    <row r="51" spans="1:3" x14ac:dyDescent="0.25">
      <c r="A51" t="s">
        <v>1204</v>
      </c>
      <c r="B51" t="s">
        <v>1205</v>
      </c>
      <c r="C51" t="s">
        <v>1206</v>
      </c>
    </row>
    <row r="52" spans="1:3" x14ac:dyDescent="0.25">
      <c r="A52" t="s">
        <v>1204</v>
      </c>
      <c r="B52" t="s">
        <v>1207</v>
      </c>
      <c r="C52" t="s">
        <v>1208</v>
      </c>
    </row>
    <row r="53" spans="1:3" x14ac:dyDescent="0.25">
      <c r="A53" t="s">
        <v>1204</v>
      </c>
      <c r="B53" t="s">
        <v>1209</v>
      </c>
      <c r="C53" t="s">
        <v>1210</v>
      </c>
    </row>
    <row r="54" spans="1:3" x14ac:dyDescent="0.25">
      <c r="A54" t="s">
        <v>1204</v>
      </c>
      <c r="B54" t="s">
        <v>1211</v>
      </c>
      <c r="C54" t="s">
        <v>1212</v>
      </c>
    </row>
    <row r="55" spans="1:3" x14ac:dyDescent="0.25">
      <c r="A55" t="s">
        <v>1204</v>
      </c>
      <c r="B55" t="s">
        <v>1213</v>
      </c>
      <c r="C55" t="s">
        <v>1214</v>
      </c>
    </row>
    <row r="57" spans="1:3" x14ac:dyDescent="0.25">
      <c r="A57" t="s">
        <v>1215</v>
      </c>
      <c r="B57" t="s">
        <v>1216</v>
      </c>
      <c r="C57" t="s">
        <v>1217</v>
      </c>
    </row>
    <row r="58" spans="1:3" x14ac:dyDescent="0.25">
      <c r="A58" t="s">
        <v>1215</v>
      </c>
      <c r="B58" t="s">
        <v>1218</v>
      </c>
      <c r="C58" t="s">
        <v>1219</v>
      </c>
    </row>
    <row r="59" spans="1:3" x14ac:dyDescent="0.25">
      <c r="A59" t="s">
        <v>1215</v>
      </c>
      <c r="B59" t="s">
        <v>1220</v>
      </c>
      <c r="C59" t="s">
        <v>1221</v>
      </c>
    </row>
    <row r="60" spans="1:3" x14ac:dyDescent="0.25">
      <c r="A60" t="s">
        <v>1215</v>
      </c>
      <c r="B60" t="s">
        <v>1222</v>
      </c>
      <c r="C60" t="s">
        <v>1223</v>
      </c>
    </row>
    <row r="61" spans="1:3" x14ac:dyDescent="0.25">
      <c r="A61" t="s">
        <v>1215</v>
      </c>
      <c r="B61" t="s">
        <v>1224</v>
      </c>
      <c r="C61" t="s">
        <v>1225</v>
      </c>
    </row>
    <row r="63" spans="1:3" x14ac:dyDescent="0.25">
      <c r="A63" t="s">
        <v>1226</v>
      </c>
      <c r="B63" t="s">
        <v>1227</v>
      </c>
      <c r="C63" t="s">
        <v>1228</v>
      </c>
    </row>
    <row r="64" spans="1:3" x14ac:dyDescent="0.25">
      <c r="A64" t="s">
        <v>1226</v>
      </c>
      <c r="B64" t="s">
        <v>1229</v>
      </c>
      <c r="C64" t="s">
        <v>1230</v>
      </c>
    </row>
    <row r="65" spans="1:3" x14ac:dyDescent="0.25">
      <c r="A65" t="s">
        <v>1226</v>
      </c>
      <c r="B65" t="s">
        <v>1231</v>
      </c>
      <c r="C65" t="s">
        <v>1232</v>
      </c>
    </row>
    <row r="66" spans="1:3" x14ac:dyDescent="0.25">
      <c r="A66" t="s">
        <v>1226</v>
      </c>
      <c r="B66" t="s">
        <v>1233</v>
      </c>
      <c r="C66" t="s">
        <v>1234</v>
      </c>
    </row>
    <row r="68" spans="1:3" x14ac:dyDescent="0.25">
      <c r="A68" t="s">
        <v>1235</v>
      </c>
      <c r="B68" t="s">
        <v>1236</v>
      </c>
      <c r="C68" t="s">
        <v>1237</v>
      </c>
    </row>
    <row r="69" spans="1:3" x14ac:dyDescent="0.25">
      <c r="A69" t="s">
        <v>1235</v>
      </c>
      <c r="B69" t="s">
        <v>1238</v>
      </c>
      <c r="C69" t="s">
        <v>1239</v>
      </c>
    </row>
    <row r="70" spans="1:3" x14ac:dyDescent="0.25">
      <c r="A70" t="s">
        <v>1235</v>
      </c>
      <c r="B70" t="s">
        <v>1240</v>
      </c>
      <c r="C70" t="s">
        <v>1241</v>
      </c>
    </row>
    <row r="71" spans="1:3" x14ac:dyDescent="0.25">
      <c r="A71" t="s">
        <v>1235</v>
      </c>
      <c r="B71" t="s">
        <v>1242</v>
      </c>
      <c r="C71" t="s">
        <v>1243</v>
      </c>
    </row>
    <row r="72" spans="1:3" x14ac:dyDescent="0.25">
      <c r="A72" t="s">
        <v>1235</v>
      </c>
      <c r="B72" t="s">
        <v>1244</v>
      </c>
      <c r="C72" t="s">
        <v>1245</v>
      </c>
    </row>
    <row r="73" spans="1:3" x14ac:dyDescent="0.25">
      <c r="A73" t="s">
        <v>1235</v>
      </c>
      <c r="B73" t="s">
        <v>1246</v>
      </c>
      <c r="C73" t="s">
        <v>1247</v>
      </c>
    </row>
    <row r="74" spans="1:3" x14ac:dyDescent="0.25">
      <c r="A74" t="s">
        <v>1235</v>
      </c>
      <c r="B74" t="s">
        <v>1163</v>
      </c>
      <c r="C74" t="s">
        <v>1149</v>
      </c>
    </row>
    <row r="76" spans="1:3" x14ac:dyDescent="0.25">
      <c r="A76" t="s">
        <v>1248</v>
      </c>
      <c r="B76" t="s">
        <v>1249</v>
      </c>
      <c r="C76" t="s">
        <v>1250</v>
      </c>
    </row>
    <row r="77" spans="1:3" x14ac:dyDescent="0.25">
      <c r="A77" t="s">
        <v>1248</v>
      </c>
      <c r="B77" t="s">
        <v>1251</v>
      </c>
      <c r="C77" t="s">
        <v>1252</v>
      </c>
    </row>
    <row r="78" spans="1:3" x14ac:dyDescent="0.25">
      <c r="A78" t="s">
        <v>1248</v>
      </c>
      <c r="B78" t="s">
        <v>1253</v>
      </c>
      <c r="C78" t="s">
        <v>1254</v>
      </c>
    </row>
    <row r="80" spans="1:3" x14ac:dyDescent="0.25">
      <c r="A80" t="s">
        <v>1255</v>
      </c>
      <c r="B80" t="s">
        <v>1256</v>
      </c>
      <c r="C80" t="s">
        <v>1257</v>
      </c>
    </row>
    <row r="81" spans="1:3" x14ac:dyDescent="0.25">
      <c r="A81" t="s">
        <v>1255</v>
      </c>
      <c r="B81" t="s">
        <v>1258</v>
      </c>
      <c r="C81" t="s">
        <v>1259</v>
      </c>
    </row>
    <row r="82" spans="1:3" x14ac:dyDescent="0.25">
      <c r="A82" t="s">
        <v>1255</v>
      </c>
      <c r="B82" t="s">
        <v>1260</v>
      </c>
      <c r="C82" t="s">
        <v>1261</v>
      </c>
    </row>
    <row r="84" spans="1:3" x14ac:dyDescent="0.25">
      <c r="A84" t="s">
        <v>1262</v>
      </c>
      <c r="B84" t="s">
        <v>1263</v>
      </c>
      <c r="C84" t="s">
        <v>2437</v>
      </c>
    </row>
    <row r="85" spans="1:3" x14ac:dyDescent="0.25">
      <c r="A85" t="s">
        <v>1262</v>
      </c>
      <c r="B85" t="s">
        <v>1264</v>
      </c>
      <c r="C85" t="s">
        <v>2438</v>
      </c>
    </row>
    <row r="86" spans="1:3" x14ac:dyDescent="0.25">
      <c r="A86" t="s">
        <v>1262</v>
      </c>
      <c r="B86" t="s">
        <v>1265</v>
      </c>
      <c r="C86" t="s">
        <v>2439</v>
      </c>
    </row>
    <row r="87" spans="1:3" x14ac:dyDescent="0.25">
      <c r="A87" t="s">
        <v>1262</v>
      </c>
      <c r="B87" t="s">
        <v>1266</v>
      </c>
      <c r="C87" t="s">
        <v>2440</v>
      </c>
    </row>
    <row r="88" spans="1:3" x14ac:dyDescent="0.25">
      <c r="A88" t="s">
        <v>1262</v>
      </c>
      <c r="B88" t="s">
        <v>1267</v>
      </c>
      <c r="C88" t="s">
        <v>2441</v>
      </c>
    </row>
    <row r="89" spans="1:3" x14ac:dyDescent="0.25">
      <c r="A89" t="s">
        <v>1262</v>
      </c>
      <c r="B89" t="s">
        <v>1268</v>
      </c>
      <c r="C89" t="s">
        <v>2442</v>
      </c>
    </row>
    <row r="90" spans="1:3" x14ac:dyDescent="0.25">
      <c r="A90" t="s">
        <v>1262</v>
      </c>
      <c r="B90" t="s">
        <v>1269</v>
      </c>
      <c r="C90" t="s">
        <v>2443</v>
      </c>
    </row>
    <row r="92" spans="1:3" x14ac:dyDescent="0.25">
      <c r="A92" t="s">
        <v>1270</v>
      </c>
      <c r="B92" t="s">
        <v>1271</v>
      </c>
      <c r="C92" t="s">
        <v>2444</v>
      </c>
    </row>
    <row r="93" spans="1:3" x14ac:dyDescent="0.25">
      <c r="A93" t="s">
        <v>1270</v>
      </c>
      <c r="B93" t="s">
        <v>1272</v>
      </c>
      <c r="C93" t="s">
        <v>2445</v>
      </c>
    </row>
    <row r="94" spans="1:3" x14ac:dyDescent="0.25">
      <c r="A94" t="s">
        <v>1270</v>
      </c>
      <c r="B94" t="s">
        <v>1273</v>
      </c>
      <c r="C94" t="s">
        <v>2446</v>
      </c>
    </row>
    <row r="95" spans="1:3" x14ac:dyDescent="0.25">
      <c r="A95" t="s">
        <v>1270</v>
      </c>
      <c r="B95" t="s">
        <v>1224</v>
      </c>
      <c r="C95" t="s">
        <v>1225</v>
      </c>
    </row>
    <row r="96" spans="1:3" x14ac:dyDescent="0.25">
      <c r="A96" t="s">
        <v>1270</v>
      </c>
      <c r="B96" t="s">
        <v>1274</v>
      </c>
      <c r="C96" t="s">
        <v>2447</v>
      </c>
    </row>
    <row r="97" spans="1:3" x14ac:dyDescent="0.25">
      <c r="A97" t="s">
        <v>1270</v>
      </c>
      <c r="B97" t="s">
        <v>1275</v>
      </c>
      <c r="C97" t="s">
        <v>2448</v>
      </c>
    </row>
    <row r="98" spans="1:3" x14ac:dyDescent="0.25">
      <c r="A98" t="s">
        <v>1270</v>
      </c>
      <c r="B98" t="s">
        <v>1276</v>
      </c>
      <c r="C98" t="s">
        <v>2449</v>
      </c>
    </row>
    <row r="100" spans="1:3" x14ac:dyDescent="0.25">
      <c r="A100" t="s">
        <v>1277</v>
      </c>
      <c r="B100" t="s">
        <v>1278</v>
      </c>
      <c r="C100" t="s">
        <v>2451</v>
      </c>
    </row>
    <row r="101" spans="1:3" x14ac:dyDescent="0.25">
      <c r="A101" t="s">
        <v>1277</v>
      </c>
      <c r="B101" t="s">
        <v>1279</v>
      </c>
      <c r="C101" t="s">
        <v>2452</v>
      </c>
    </row>
    <row r="102" spans="1:3" x14ac:dyDescent="0.25">
      <c r="A102" t="s">
        <v>1277</v>
      </c>
      <c r="B102" t="s">
        <v>1280</v>
      </c>
      <c r="C102" t="s">
        <v>2450</v>
      </c>
    </row>
    <row r="104" spans="1:3" x14ac:dyDescent="0.25">
      <c r="A104" t="s">
        <v>318</v>
      </c>
      <c r="B104" t="s">
        <v>1281</v>
      </c>
      <c r="C104" t="s">
        <v>2454</v>
      </c>
    </row>
    <row r="105" spans="1:3" x14ac:dyDescent="0.25">
      <c r="A105" t="s">
        <v>318</v>
      </c>
      <c r="B105" t="s">
        <v>1282</v>
      </c>
      <c r="C105" t="s">
        <v>2455</v>
      </c>
    </row>
    <row r="106" spans="1:3" x14ac:dyDescent="0.25">
      <c r="A106" t="s">
        <v>318</v>
      </c>
      <c r="B106" t="s">
        <v>1283</v>
      </c>
      <c r="C106" t="s">
        <v>2456</v>
      </c>
    </row>
    <row r="107" spans="1:3" x14ac:dyDescent="0.25">
      <c r="A107" t="s">
        <v>318</v>
      </c>
      <c r="B107" t="s">
        <v>1284</v>
      </c>
      <c r="C107" t="s">
        <v>2457</v>
      </c>
    </row>
    <row r="108" spans="1:3" x14ac:dyDescent="0.25">
      <c r="A108" t="s">
        <v>318</v>
      </c>
      <c r="B108" t="s">
        <v>1285</v>
      </c>
      <c r="C108" t="s">
        <v>2458</v>
      </c>
    </row>
    <row r="109" spans="1:3" x14ac:dyDescent="0.25">
      <c r="A109" t="s">
        <v>318</v>
      </c>
      <c r="B109" t="s">
        <v>1286</v>
      </c>
      <c r="C109" t="s">
        <v>2459</v>
      </c>
    </row>
    <row r="110" spans="1:3" x14ac:dyDescent="0.25">
      <c r="A110" t="s">
        <v>318</v>
      </c>
      <c r="B110" t="s">
        <v>1287</v>
      </c>
      <c r="C110" t="s">
        <v>2453</v>
      </c>
    </row>
    <row r="112" spans="1:3" x14ac:dyDescent="0.25">
      <c r="A112" t="s">
        <v>1288</v>
      </c>
      <c r="B112" t="s">
        <v>1289</v>
      </c>
      <c r="C112" t="s">
        <v>2460</v>
      </c>
    </row>
    <row r="113" spans="1:3" x14ac:dyDescent="0.25">
      <c r="A113" t="s">
        <v>1288</v>
      </c>
      <c r="B113" t="s">
        <v>1290</v>
      </c>
      <c r="C113" t="s">
        <v>2461</v>
      </c>
    </row>
    <row r="115" spans="1:3" x14ac:dyDescent="0.25">
      <c r="A115" t="s">
        <v>1291</v>
      </c>
      <c r="B115" t="s">
        <v>1292</v>
      </c>
      <c r="C115" t="s">
        <v>2463</v>
      </c>
    </row>
    <row r="116" spans="1:3" x14ac:dyDescent="0.25">
      <c r="A116" t="s">
        <v>1291</v>
      </c>
      <c r="B116" t="s">
        <v>1293</v>
      </c>
      <c r="C116" t="s">
        <v>2464</v>
      </c>
    </row>
    <row r="117" spans="1:3" x14ac:dyDescent="0.25">
      <c r="A117" t="s">
        <v>1291</v>
      </c>
      <c r="B117" t="s">
        <v>1294</v>
      </c>
      <c r="C117" t="s">
        <v>2465</v>
      </c>
    </row>
    <row r="118" spans="1:3" x14ac:dyDescent="0.25">
      <c r="A118" t="s">
        <v>1291</v>
      </c>
      <c r="B118" t="s">
        <v>1295</v>
      </c>
      <c r="C118" t="s">
        <v>2466</v>
      </c>
    </row>
    <row r="119" spans="1:3" x14ac:dyDescent="0.25">
      <c r="A119" t="s">
        <v>1291</v>
      </c>
      <c r="B119" t="s">
        <v>1296</v>
      </c>
      <c r="C119" t="s">
        <v>2462</v>
      </c>
    </row>
    <row r="121" spans="1:3" x14ac:dyDescent="0.25">
      <c r="A121" t="s">
        <v>1297</v>
      </c>
      <c r="B121" t="s">
        <v>1298</v>
      </c>
      <c r="C121" t="s">
        <v>2467</v>
      </c>
    </row>
    <row r="122" spans="1:3" x14ac:dyDescent="0.25">
      <c r="A122" t="s">
        <v>1297</v>
      </c>
      <c r="B122" t="s">
        <v>1299</v>
      </c>
      <c r="C122" t="s">
        <v>2468</v>
      </c>
    </row>
    <row r="123" spans="1:3" x14ac:dyDescent="0.25">
      <c r="A123" t="s">
        <v>1297</v>
      </c>
      <c r="B123" t="s">
        <v>1300</v>
      </c>
      <c r="C123" t="s">
        <v>2469</v>
      </c>
    </row>
    <row r="124" spans="1:3" x14ac:dyDescent="0.25">
      <c r="A124" t="s">
        <v>1297</v>
      </c>
      <c r="B124" t="s">
        <v>1301</v>
      </c>
      <c r="C124" t="s">
        <v>2470</v>
      </c>
    </row>
    <row r="126" spans="1:3" x14ac:dyDescent="0.25">
      <c r="A126" t="s">
        <v>1302</v>
      </c>
      <c r="B126" t="s">
        <v>1303</v>
      </c>
      <c r="C126" t="s">
        <v>2471</v>
      </c>
    </row>
    <row r="127" spans="1:3" x14ac:dyDescent="0.25">
      <c r="A127" t="s">
        <v>1302</v>
      </c>
      <c r="B127" t="s">
        <v>1304</v>
      </c>
      <c r="C127" t="s">
        <v>2472</v>
      </c>
    </row>
    <row r="128" spans="1:3" x14ac:dyDescent="0.25">
      <c r="A128" t="s">
        <v>1302</v>
      </c>
      <c r="B128" t="s">
        <v>1296</v>
      </c>
      <c r="C128" t="s">
        <v>2462</v>
      </c>
    </row>
    <row r="130" spans="1:3" x14ac:dyDescent="0.25">
      <c r="A130" t="s">
        <v>1305</v>
      </c>
      <c r="B130" t="s">
        <v>1306</v>
      </c>
      <c r="C130" t="s">
        <v>2473</v>
      </c>
    </row>
    <row r="131" spans="1:3" x14ac:dyDescent="0.25">
      <c r="A131" t="s">
        <v>1305</v>
      </c>
      <c r="B131" t="s">
        <v>1307</v>
      </c>
      <c r="C131" t="s">
        <v>2474</v>
      </c>
    </row>
    <row r="132" spans="1:3" x14ac:dyDescent="0.25">
      <c r="A132" t="s">
        <v>1305</v>
      </c>
      <c r="B132" t="s">
        <v>1299</v>
      </c>
      <c r="C132" t="s">
        <v>2475</v>
      </c>
    </row>
    <row r="133" spans="1:3" x14ac:dyDescent="0.25">
      <c r="A133" t="s">
        <v>1305</v>
      </c>
      <c r="B133" t="s">
        <v>1163</v>
      </c>
      <c r="C133" t="s">
        <v>2476</v>
      </c>
    </row>
    <row r="135" spans="1:3" x14ac:dyDescent="0.25">
      <c r="A135" t="s">
        <v>1308</v>
      </c>
      <c r="B135" t="s">
        <v>1309</v>
      </c>
      <c r="C135" t="s">
        <v>2478</v>
      </c>
    </row>
    <row r="136" spans="1:3" x14ac:dyDescent="0.25">
      <c r="A136" t="s">
        <v>1308</v>
      </c>
      <c r="B136" t="s">
        <v>1310</v>
      </c>
      <c r="C136" t="s">
        <v>2479</v>
      </c>
    </row>
    <row r="137" spans="1:3" x14ac:dyDescent="0.25">
      <c r="A137" t="s">
        <v>1308</v>
      </c>
      <c r="B137" t="s">
        <v>1311</v>
      </c>
      <c r="C137" t="s">
        <v>2480</v>
      </c>
    </row>
    <row r="138" spans="1:3" x14ac:dyDescent="0.25">
      <c r="A138" t="s">
        <v>1308</v>
      </c>
      <c r="B138" t="s">
        <v>1163</v>
      </c>
      <c r="C138" t="s">
        <v>2477</v>
      </c>
    </row>
    <row r="140" spans="1:3" x14ac:dyDescent="0.25">
      <c r="A140" t="s">
        <v>1312</v>
      </c>
      <c r="B140" t="s">
        <v>1313</v>
      </c>
      <c r="C140" t="s">
        <v>2481</v>
      </c>
    </row>
    <row r="141" spans="1:3" x14ac:dyDescent="0.25">
      <c r="A141" t="s">
        <v>1312</v>
      </c>
      <c r="B141" t="s">
        <v>1314</v>
      </c>
      <c r="C141" t="s">
        <v>2482</v>
      </c>
    </row>
    <row r="142" spans="1:3" x14ac:dyDescent="0.25">
      <c r="A142" t="s">
        <v>1312</v>
      </c>
      <c r="B142" t="s">
        <v>1315</v>
      </c>
      <c r="C142" t="s">
        <v>2483</v>
      </c>
    </row>
    <row r="143" spans="1:3" x14ac:dyDescent="0.25">
      <c r="A143" t="s">
        <v>1312</v>
      </c>
      <c r="B143" t="s">
        <v>1316</v>
      </c>
      <c r="C143" t="s">
        <v>2484</v>
      </c>
    </row>
    <row r="144" spans="1:3" x14ac:dyDescent="0.25">
      <c r="A144" t="s">
        <v>1312</v>
      </c>
      <c r="B144" t="s">
        <v>1317</v>
      </c>
      <c r="C144" t="s">
        <v>2485</v>
      </c>
    </row>
    <row r="145" spans="1:3" x14ac:dyDescent="0.25">
      <c r="A145" t="s">
        <v>1312</v>
      </c>
      <c r="B145" t="s">
        <v>1318</v>
      </c>
      <c r="C145" t="s">
        <v>2486</v>
      </c>
    </row>
    <row r="147" spans="1:3" x14ac:dyDescent="0.25">
      <c r="A147" t="s">
        <v>1319</v>
      </c>
      <c r="B147" t="s">
        <v>1320</v>
      </c>
      <c r="C147" t="s">
        <v>2487</v>
      </c>
    </row>
    <row r="148" spans="1:3" x14ac:dyDescent="0.25">
      <c r="A148" t="s">
        <v>1319</v>
      </c>
      <c r="B148" t="s">
        <v>1311</v>
      </c>
      <c r="C148" t="s">
        <v>2488</v>
      </c>
    </row>
    <row r="149" spans="1:3" x14ac:dyDescent="0.25">
      <c r="A149" t="s">
        <v>1319</v>
      </c>
      <c r="B149" t="s">
        <v>1321</v>
      </c>
      <c r="C149" t="s">
        <v>2489</v>
      </c>
    </row>
    <row r="151" spans="1:3" x14ac:dyDescent="0.25">
      <c r="A151" t="s">
        <v>1322</v>
      </c>
      <c r="B151" t="s">
        <v>1323</v>
      </c>
      <c r="C151" t="s">
        <v>2492</v>
      </c>
    </row>
    <row r="152" spans="1:3" x14ac:dyDescent="0.25">
      <c r="A152" t="s">
        <v>1322</v>
      </c>
      <c r="B152" t="s">
        <v>1324</v>
      </c>
      <c r="C152" t="s">
        <v>2493</v>
      </c>
    </row>
    <row r="153" spans="1:3" x14ac:dyDescent="0.25">
      <c r="A153" t="s">
        <v>1322</v>
      </c>
      <c r="B153" t="s">
        <v>1325</v>
      </c>
      <c r="C153" t="s">
        <v>2491</v>
      </c>
    </row>
    <row r="155" spans="1:3" x14ac:dyDescent="0.25">
      <c r="A155" t="s">
        <v>1326</v>
      </c>
      <c r="B155" t="s">
        <v>1327</v>
      </c>
      <c r="C155" t="s">
        <v>2494</v>
      </c>
    </row>
    <row r="156" spans="1:3" x14ac:dyDescent="0.25">
      <c r="A156" t="s">
        <v>1326</v>
      </c>
      <c r="B156" t="s">
        <v>1328</v>
      </c>
      <c r="C156" t="s">
        <v>2495</v>
      </c>
    </row>
    <row r="157" spans="1:3" x14ac:dyDescent="0.25">
      <c r="A157" t="s">
        <v>1326</v>
      </c>
      <c r="B157" t="s">
        <v>1163</v>
      </c>
      <c r="C157" t="s">
        <v>2496</v>
      </c>
    </row>
    <row r="159" spans="1:3" x14ac:dyDescent="0.25">
      <c r="A159" t="s">
        <v>1329</v>
      </c>
      <c r="B159" t="s">
        <v>1330</v>
      </c>
      <c r="C159" t="s">
        <v>2497</v>
      </c>
    </row>
    <row r="160" spans="1:3" x14ac:dyDescent="0.25">
      <c r="A160" t="s">
        <v>1329</v>
      </c>
      <c r="B160" t="s">
        <v>1304</v>
      </c>
      <c r="C160" t="s">
        <v>2472</v>
      </c>
    </row>
    <row r="161" spans="1:3" x14ac:dyDescent="0.25">
      <c r="A161" t="s">
        <v>1329</v>
      </c>
      <c r="B161" t="s">
        <v>1296</v>
      </c>
      <c r="C161" t="s">
        <v>2498</v>
      </c>
    </row>
    <row r="163" spans="1:3" x14ac:dyDescent="0.25">
      <c r="A163" t="s">
        <v>1331</v>
      </c>
      <c r="B163" t="s">
        <v>1332</v>
      </c>
      <c r="C163" t="s">
        <v>2499</v>
      </c>
    </row>
    <row r="164" spans="1:3" x14ac:dyDescent="0.25">
      <c r="A164" t="s">
        <v>1331</v>
      </c>
      <c r="B164" t="s">
        <v>1292</v>
      </c>
      <c r="C164" t="s">
        <v>2463</v>
      </c>
    </row>
    <row r="165" spans="1:3" x14ac:dyDescent="0.25">
      <c r="A165" t="s">
        <v>1331</v>
      </c>
      <c r="B165" t="s">
        <v>1293</v>
      </c>
      <c r="C165" t="s">
        <v>2464</v>
      </c>
    </row>
    <row r="166" spans="1:3" x14ac:dyDescent="0.25">
      <c r="A166" t="s">
        <v>1331</v>
      </c>
      <c r="B166" t="s">
        <v>1294</v>
      </c>
      <c r="C166" t="s">
        <v>2465</v>
      </c>
    </row>
    <row r="167" spans="1:3" x14ac:dyDescent="0.25">
      <c r="A167" t="s">
        <v>1331</v>
      </c>
      <c r="B167" t="s">
        <v>1295</v>
      </c>
      <c r="C167" t="s">
        <v>2466</v>
      </c>
    </row>
    <row r="168" spans="1:3" x14ac:dyDescent="0.25">
      <c r="A168" t="s">
        <v>1331</v>
      </c>
      <c r="B168" t="s">
        <v>1296</v>
      </c>
      <c r="C168" t="s">
        <v>2462</v>
      </c>
    </row>
    <row r="170" spans="1:3" x14ac:dyDescent="0.25">
      <c r="A170" t="s">
        <v>1333</v>
      </c>
      <c r="B170" t="s">
        <v>1332</v>
      </c>
      <c r="C170" t="s">
        <v>2499</v>
      </c>
    </row>
    <row r="171" spans="1:3" x14ac:dyDescent="0.25">
      <c r="A171" t="s">
        <v>1333</v>
      </c>
      <c r="B171" t="s">
        <v>1292</v>
      </c>
      <c r="C171" t="s">
        <v>2463</v>
      </c>
    </row>
    <row r="172" spans="1:3" x14ac:dyDescent="0.25">
      <c r="A172" t="s">
        <v>1333</v>
      </c>
      <c r="B172" t="s">
        <v>1293</v>
      </c>
      <c r="C172" t="s">
        <v>2464</v>
      </c>
    </row>
    <row r="173" spans="1:3" x14ac:dyDescent="0.25">
      <c r="A173" t="s">
        <v>1333</v>
      </c>
      <c r="B173" t="s">
        <v>1294</v>
      </c>
      <c r="C173" t="s">
        <v>2465</v>
      </c>
    </row>
    <row r="174" spans="1:3" x14ac:dyDescent="0.25">
      <c r="A174" t="s">
        <v>1333</v>
      </c>
      <c r="B174" t="s">
        <v>1295</v>
      </c>
      <c r="C174" t="s">
        <v>2466</v>
      </c>
    </row>
    <row r="176" spans="1:3" x14ac:dyDescent="0.25">
      <c r="A176" t="s">
        <v>1334</v>
      </c>
      <c r="B176" t="s">
        <v>1335</v>
      </c>
      <c r="C176" t="s">
        <v>2500</v>
      </c>
    </row>
    <row r="177" spans="1:3" x14ac:dyDescent="0.25">
      <c r="A177" t="s">
        <v>1334</v>
      </c>
      <c r="B177" t="s">
        <v>1336</v>
      </c>
      <c r="C177" t="s">
        <v>2501</v>
      </c>
    </row>
    <row r="178" spans="1:3" x14ac:dyDescent="0.25">
      <c r="A178" t="s">
        <v>1334</v>
      </c>
      <c r="B178" t="s">
        <v>1337</v>
      </c>
      <c r="C178" t="s">
        <v>2502</v>
      </c>
    </row>
    <row r="179" spans="1:3" x14ac:dyDescent="0.25">
      <c r="A179" t="s">
        <v>1334</v>
      </c>
      <c r="B179" t="s">
        <v>1338</v>
      </c>
      <c r="C179" t="s">
        <v>2503</v>
      </c>
    </row>
    <row r="180" spans="1:3" x14ac:dyDescent="0.25">
      <c r="A180" t="s">
        <v>1334</v>
      </c>
      <c r="B180" t="s">
        <v>1339</v>
      </c>
      <c r="C180" t="s">
        <v>2504</v>
      </c>
    </row>
    <row r="181" spans="1:3" x14ac:dyDescent="0.25">
      <c r="A181" t="s">
        <v>1334</v>
      </c>
      <c r="B181" t="s">
        <v>1340</v>
      </c>
      <c r="C181" t="s">
        <v>2505</v>
      </c>
    </row>
    <row r="183" spans="1:3" x14ac:dyDescent="0.25">
      <c r="A183" t="s">
        <v>1341</v>
      </c>
      <c r="B183" t="s">
        <v>1342</v>
      </c>
      <c r="C183" t="s">
        <v>2507</v>
      </c>
    </row>
    <row r="184" spans="1:3" x14ac:dyDescent="0.25">
      <c r="A184" t="s">
        <v>1341</v>
      </c>
      <c r="B184" t="s">
        <v>1343</v>
      </c>
      <c r="C184" t="s">
        <v>2508</v>
      </c>
    </row>
    <row r="185" spans="1:3" x14ac:dyDescent="0.25">
      <c r="A185" t="s">
        <v>1341</v>
      </c>
      <c r="B185" t="s">
        <v>1344</v>
      </c>
      <c r="C185" t="s">
        <v>2509</v>
      </c>
    </row>
    <row r="186" spans="1:3" x14ac:dyDescent="0.25">
      <c r="A186" t="s">
        <v>1341</v>
      </c>
      <c r="B186" t="s">
        <v>1345</v>
      </c>
      <c r="C186" t="s">
        <v>2510</v>
      </c>
    </row>
    <row r="187" spans="1:3" x14ac:dyDescent="0.25">
      <c r="A187" t="s">
        <v>1341</v>
      </c>
      <c r="B187" t="s">
        <v>1346</v>
      </c>
      <c r="C187" t="s">
        <v>2506</v>
      </c>
    </row>
    <row r="189" spans="1:3" x14ac:dyDescent="0.25">
      <c r="A189" t="s">
        <v>1347</v>
      </c>
      <c r="B189" t="s">
        <v>1348</v>
      </c>
      <c r="C189" t="s">
        <v>2512</v>
      </c>
    </row>
    <row r="190" spans="1:3" x14ac:dyDescent="0.25">
      <c r="A190" t="s">
        <v>1347</v>
      </c>
      <c r="B190" t="s">
        <v>1349</v>
      </c>
      <c r="C190" t="s">
        <v>2513</v>
      </c>
    </row>
    <row r="191" spans="1:3" x14ac:dyDescent="0.25">
      <c r="A191" t="s">
        <v>1347</v>
      </c>
      <c r="B191" t="s">
        <v>1350</v>
      </c>
      <c r="C191" t="s">
        <v>2514</v>
      </c>
    </row>
    <row r="192" spans="1:3" x14ac:dyDescent="0.25">
      <c r="A192" t="s">
        <v>1347</v>
      </c>
      <c r="B192" t="s">
        <v>1351</v>
      </c>
      <c r="C192" t="s">
        <v>2515</v>
      </c>
    </row>
    <row r="193" spans="1:4" x14ac:dyDescent="0.25">
      <c r="A193" t="s">
        <v>1347</v>
      </c>
      <c r="B193" t="s">
        <v>1352</v>
      </c>
      <c r="C193" t="s">
        <v>2516</v>
      </c>
    </row>
    <row r="194" spans="1:4" x14ac:dyDescent="0.25">
      <c r="A194" t="s">
        <v>1347</v>
      </c>
      <c r="B194" t="s">
        <v>1353</v>
      </c>
      <c r="C194" t="s">
        <v>2517</v>
      </c>
    </row>
    <row r="195" spans="1:4" x14ac:dyDescent="0.25">
      <c r="A195" t="s">
        <v>1347</v>
      </c>
      <c r="B195" t="s">
        <v>1354</v>
      </c>
      <c r="C195" t="s">
        <v>2518</v>
      </c>
    </row>
    <row r="196" spans="1:4" x14ac:dyDescent="0.25">
      <c r="A196" t="s">
        <v>1347</v>
      </c>
      <c r="B196" t="s">
        <v>1355</v>
      </c>
      <c r="C196" t="s">
        <v>2519</v>
      </c>
    </row>
    <row r="197" spans="1:4" x14ac:dyDescent="0.25">
      <c r="A197" t="s">
        <v>1347</v>
      </c>
      <c r="B197" t="s">
        <v>1356</v>
      </c>
      <c r="C197" t="s">
        <v>2520</v>
      </c>
    </row>
    <row r="198" spans="1:4" x14ac:dyDescent="0.25">
      <c r="A198" t="s">
        <v>1347</v>
      </c>
      <c r="B198" t="s">
        <v>1357</v>
      </c>
      <c r="C198" t="s">
        <v>2521</v>
      </c>
    </row>
    <row r="199" spans="1:4" x14ac:dyDescent="0.25">
      <c r="A199" t="s">
        <v>1347</v>
      </c>
      <c r="B199" t="s">
        <v>1358</v>
      </c>
      <c r="C199" t="s">
        <v>2522</v>
      </c>
    </row>
    <row r="200" spans="1:4" x14ac:dyDescent="0.25">
      <c r="A200" t="s">
        <v>1347</v>
      </c>
      <c r="B200" t="s">
        <v>1359</v>
      </c>
      <c r="C200" t="s">
        <v>2511</v>
      </c>
    </row>
    <row r="201" spans="1:4" x14ac:dyDescent="0.25">
      <c r="A201" t="s">
        <v>1347</v>
      </c>
      <c r="B201" t="s">
        <v>1360</v>
      </c>
      <c r="C201" t="s">
        <v>2523</v>
      </c>
    </row>
    <row r="202" spans="1:4" x14ac:dyDescent="0.25">
      <c r="A202" t="s">
        <v>1347</v>
      </c>
      <c r="B202" t="s">
        <v>1361</v>
      </c>
      <c r="C202" t="s">
        <v>2524</v>
      </c>
    </row>
    <row r="204" spans="1:4" x14ac:dyDescent="0.25">
      <c r="A204" t="s">
        <v>532</v>
      </c>
      <c r="B204" t="s">
        <v>1362</v>
      </c>
      <c r="C204" t="s">
        <v>2525</v>
      </c>
      <c r="D204" s="83"/>
    </row>
    <row r="205" spans="1:4" x14ac:dyDescent="0.25">
      <c r="A205" t="s">
        <v>532</v>
      </c>
      <c r="B205" t="s">
        <v>1363</v>
      </c>
      <c r="C205" t="s">
        <v>2526</v>
      </c>
      <c r="D205" s="83"/>
    </row>
    <row r="207" spans="1:4" x14ac:dyDescent="0.25">
      <c r="A207" t="s">
        <v>1364</v>
      </c>
      <c r="B207" t="s">
        <v>1365</v>
      </c>
      <c r="C207" t="s">
        <v>2527</v>
      </c>
    </row>
    <row r="208" spans="1:4" x14ac:dyDescent="0.25">
      <c r="A208" t="s">
        <v>1364</v>
      </c>
      <c r="B208" t="s">
        <v>1366</v>
      </c>
      <c r="C208" t="s">
        <v>2528</v>
      </c>
    </row>
    <row r="209" spans="1:3" x14ac:dyDescent="0.25">
      <c r="A209" t="s">
        <v>1364</v>
      </c>
      <c r="B209" t="s">
        <v>1367</v>
      </c>
      <c r="C209" t="s">
        <v>2529</v>
      </c>
    </row>
    <row r="210" spans="1:3" x14ac:dyDescent="0.25">
      <c r="A210" t="s">
        <v>1364</v>
      </c>
      <c r="B210" t="s">
        <v>1368</v>
      </c>
      <c r="C210" t="s">
        <v>2530</v>
      </c>
    </row>
    <row r="211" spans="1:3" x14ac:dyDescent="0.25">
      <c r="A211" t="s">
        <v>1364</v>
      </c>
      <c r="B211" t="s">
        <v>1369</v>
      </c>
      <c r="C211" t="s">
        <v>2531</v>
      </c>
    </row>
    <row r="212" spans="1:3" x14ac:dyDescent="0.25">
      <c r="A212" t="s">
        <v>1364</v>
      </c>
      <c r="B212" t="s">
        <v>1370</v>
      </c>
      <c r="C212" t="s">
        <v>2532</v>
      </c>
    </row>
    <row r="213" spans="1:3" x14ac:dyDescent="0.25">
      <c r="A213" t="s">
        <v>1364</v>
      </c>
      <c r="B213" t="s">
        <v>1371</v>
      </c>
      <c r="C213" t="s">
        <v>2533</v>
      </c>
    </row>
    <row r="215" spans="1:3" x14ac:dyDescent="0.25">
      <c r="A215" t="s">
        <v>1372</v>
      </c>
      <c r="B215" t="s">
        <v>1373</v>
      </c>
      <c r="C215" t="s">
        <v>2534</v>
      </c>
    </row>
    <row r="216" spans="1:3" x14ac:dyDescent="0.25">
      <c r="A216" t="s">
        <v>1372</v>
      </c>
      <c r="B216" t="s">
        <v>1374</v>
      </c>
      <c r="C216" t="s">
        <v>2535</v>
      </c>
    </row>
    <row r="217" spans="1:3" x14ac:dyDescent="0.25">
      <c r="A217" t="s">
        <v>1372</v>
      </c>
      <c r="B217" t="s">
        <v>1375</v>
      </c>
      <c r="C217" t="s">
        <v>2536</v>
      </c>
    </row>
    <row r="218" spans="1:3" x14ac:dyDescent="0.25">
      <c r="A218" s="78" t="s">
        <v>1372</v>
      </c>
      <c r="B218" s="78" t="s">
        <v>2776</v>
      </c>
      <c r="C218" s="78" t="s">
        <v>2537</v>
      </c>
    </row>
    <row r="219" spans="1:3" x14ac:dyDescent="0.25">
      <c r="A219" t="s">
        <v>1372</v>
      </c>
      <c r="B219" t="s">
        <v>1163</v>
      </c>
      <c r="C219" t="s">
        <v>2777</v>
      </c>
    </row>
    <row r="221" spans="1:3" x14ac:dyDescent="0.25">
      <c r="A221" t="s">
        <v>1376</v>
      </c>
      <c r="B221" t="s">
        <v>1377</v>
      </c>
      <c r="C221" t="s">
        <v>2538</v>
      </c>
    </row>
    <row r="222" spans="1:3" x14ac:dyDescent="0.25">
      <c r="A222" t="s">
        <v>1376</v>
      </c>
      <c r="B222" t="s">
        <v>1378</v>
      </c>
      <c r="C222" t="s">
        <v>2539</v>
      </c>
    </row>
    <row r="223" spans="1:3" x14ac:dyDescent="0.25">
      <c r="A223" t="s">
        <v>1376</v>
      </c>
      <c r="B223" t="s">
        <v>1379</v>
      </c>
      <c r="C223" t="s">
        <v>2540</v>
      </c>
    </row>
    <row r="224" spans="1:3" x14ac:dyDescent="0.25">
      <c r="A224" s="78" t="s">
        <v>1376</v>
      </c>
      <c r="B224" s="78" t="s">
        <v>2541</v>
      </c>
      <c r="C224" s="78" t="s">
        <v>2542</v>
      </c>
    </row>
    <row r="225" spans="1:3" x14ac:dyDescent="0.25">
      <c r="A225" t="s">
        <v>1376</v>
      </c>
      <c r="B225" t="s">
        <v>1380</v>
      </c>
      <c r="C225" t="s">
        <v>2543</v>
      </c>
    </row>
    <row r="226" spans="1:3" x14ac:dyDescent="0.25">
      <c r="A226" t="s">
        <v>1376</v>
      </c>
      <c r="B226" t="s">
        <v>1381</v>
      </c>
      <c r="C226" t="s">
        <v>2544</v>
      </c>
    </row>
    <row r="227" spans="1:3" x14ac:dyDescent="0.25">
      <c r="A227" t="s">
        <v>1376</v>
      </c>
      <c r="B227" t="s">
        <v>1382</v>
      </c>
      <c r="C227" t="s">
        <v>2545</v>
      </c>
    </row>
    <row r="228" spans="1:3" x14ac:dyDescent="0.25">
      <c r="A228" t="s">
        <v>1376</v>
      </c>
      <c r="B228" t="s">
        <v>1163</v>
      </c>
      <c r="C228" t="s">
        <v>2546</v>
      </c>
    </row>
    <row r="230" spans="1:3" x14ac:dyDescent="0.25">
      <c r="A230" t="s">
        <v>1383</v>
      </c>
      <c r="B230" t="s">
        <v>1384</v>
      </c>
      <c r="C230" t="s">
        <v>2547</v>
      </c>
    </row>
    <row r="231" spans="1:3" x14ac:dyDescent="0.25">
      <c r="A231" t="s">
        <v>1383</v>
      </c>
      <c r="B231" t="s">
        <v>1385</v>
      </c>
      <c r="C231" t="s">
        <v>2548</v>
      </c>
    </row>
    <row r="232" spans="1:3" x14ac:dyDescent="0.25">
      <c r="A232" t="s">
        <v>1383</v>
      </c>
      <c r="B232" t="s">
        <v>1386</v>
      </c>
      <c r="C232" t="s">
        <v>2549</v>
      </c>
    </row>
    <row r="233" spans="1:3" x14ac:dyDescent="0.25">
      <c r="A233" t="s">
        <v>1383</v>
      </c>
      <c r="B233" t="s">
        <v>1387</v>
      </c>
      <c r="C233" t="s">
        <v>2550</v>
      </c>
    </row>
    <row r="234" spans="1:3" x14ac:dyDescent="0.25">
      <c r="A234" t="s">
        <v>1383</v>
      </c>
      <c r="B234" t="s">
        <v>1163</v>
      </c>
      <c r="C234" t="s">
        <v>2551</v>
      </c>
    </row>
    <row r="236" spans="1:3" x14ac:dyDescent="0.25">
      <c r="A236" t="s">
        <v>583</v>
      </c>
      <c r="B236" t="s">
        <v>1388</v>
      </c>
      <c r="C236" t="s">
        <v>2552</v>
      </c>
    </row>
    <row r="237" spans="1:3" x14ac:dyDescent="0.25">
      <c r="A237" t="s">
        <v>583</v>
      </c>
      <c r="B237" t="s">
        <v>1389</v>
      </c>
      <c r="C237" t="s">
        <v>2554</v>
      </c>
    </row>
    <row r="238" spans="1:3" x14ac:dyDescent="0.25">
      <c r="A238" t="s">
        <v>583</v>
      </c>
      <c r="B238" t="s">
        <v>1390</v>
      </c>
      <c r="C238" t="s">
        <v>2553</v>
      </c>
    </row>
    <row r="240" spans="1:3" x14ac:dyDescent="0.25">
      <c r="A240" t="s">
        <v>587</v>
      </c>
      <c r="B240" t="s">
        <v>1391</v>
      </c>
      <c r="C240" t="s">
        <v>2558</v>
      </c>
    </row>
    <row r="241" spans="1:3" x14ac:dyDescent="0.25">
      <c r="A241" t="s">
        <v>587</v>
      </c>
      <c r="B241" t="s">
        <v>1392</v>
      </c>
      <c r="C241" t="s">
        <v>2557</v>
      </c>
    </row>
    <row r="242" spans="1:3" x14ac:dyDescent="0.25">
      <c r="A242" t="s">
        <v>587</v>
      </c>
      <c r="B242" t="s">
        <v>1393</v>
      </c>
      <c r="C242" t="s">
        <v>2556</v>
      </c>
    </row>
    <row r="243" spans="1:3" x14ac:dyDescent="0.25">
      <c r="A243" t="s">
        <v>587</v>
      </c>
      <c r="B243" t="s">
        <v>1394</v>
      </c>
      <c r="C243" t="s">
        <v>2555</v>
      </c>
    </row>
    <row r="245" spans="1:3" x14ac:dyDescent="0.25">
      <c r="A245" t="s">
        <v>1395</v>
      </c>
      <c r="B245" t="s">
        <v>1396</v>
      </c>
      <c r="C245" t="s">
        <v>2559</v>
      </c>
    </row>
    <row r="246" spans="1:3" x14ac:dyDescent="0.25">
      <c r="A246" t="s">
        <v>1395</v>
      </c>
      <c r="B246" t="s">
        <v>1397</v>
      </c>
      <c r="C246" t="s">
        <v>2560</v>
      </c>
    </row>
    <row r="247" spans="1:3" x14ac:dyDescent="0.25">
      <c r="A247" t="s">
        <v>1395</v>
      </c>
      <c r="B247" t="s">
        <v>1398</v>
      </c>
      <c r="C247" t="s">
        <v>2561</v>
      </c>
    </row>
    <row r="248" spans="1:3" x14ac:dyDescent="0.25">
      <c r="A248" t="s">
        <v>1395</v>
      </c>
      <c r="B248" t="s">
        <v>1399</v>
      </c>
      <c r="C248" t="s">
        <v>2562</v>
      </c>
    </row>
    <row r="249" spans="1:3" x14ac:dyDescent="0.25">
      <c r="A249" t="s">
        <v>1395</v>
      </c>
      <c r="B249" t="s">
        <v>1400</v>
      </c>
      <c r="C249" t="s">
        <v>2563</v>
      </c>
    </row>
    <row r="251" spans="1:3" x14ac:dyDescent="0.25">
      <c r="A251" t="s">
        <v>1391</v>
      </c>
      <c r="B251" t="s">
        <v>1401</v>
      </c>
      <c r="C251" t="s">
        <v>2131</v>
      </c>
    </row>
    <row r="252" spans="1:3" x14ac:dyDescent="0.25">
      <c r="A252" t="s">
        <v>1391</v>
      </c>
      <c r="B252" t="s">
        <v>1402</v>
      </c>
      <c r="C252" t="s">
        <v>2130</v>
      </c>
    </row>
    <row r="253" spans="1:3" x14ac:dyDescent="0.25">
      <c r="A253" t="s">
        <v>1391</v>
      </c>
      <c r="B253" t="s">
        <v>1403</v>
      </c>
      <c r="C253" t="s">
        <v>2567</v>
      </c>
    </row>
    <row r="254" spans="1:3" x14ac:dyDescent="0.25">
      <c r="A254" t="s">
        <v>1391</v>
      </c>
      <c r="B254" t="s">
        <v>1404</v>
      </c>
      <c r="C254" t="s">
        <v>2564</v>
      </c>
    </row>
    <row r="255" spans="1:3" x14ac:dyDescent="0.25">
      <c r="A255" t="s">
        <v>1391</v>
      </c>
      <c r="B255" t="s">
        <v>1405</v>
      </c>
      <c r="C255" t="s">
        <v>2565</v>
      </c>
    </row>
    <row r="256" spans="1:3" x14ac:dyDescent="0.25">
      <c r="A256" t="s">
        <v>1391</v>
      </c>
      <c r="B256" t="s">
        <v>1406</v>
      </c>
      <c r="C256" t="s">
        <v>2566</v>
      </c>
    </row>
    <row r="257" spans="1:3" x14ac:dyDescent="0.25">
      <c r="A257" t="s">
        <v>1391</v>
      </c>
      <c r="B257" t="s">
        <v>1407</v>
      </c>
      <c r="C257" t="s">
        <v>2568</v>
      </c>
    </row>
    <row r="259" spans="1:3" x14ac:dyDescent="0.25">
      <c r="A259" t="s">
        <v>603</v>
      </c>
      <c r="B259" t="s">
        <v>1408</v>
      </c>
      <c r="C259" t="s">
        <v>2569</v>
      </c>
    </row>
    <row r="260" spans="1:3" x14ac:dyDescent="0.25">
      <c r="A260" t="s">
        <v>603</v>
      </c>
      <c r="B260" t="s">
        <v>1409</v>
      </c>
      <c r="C260" t="s">
        <v>2572</v>
      </c>
    </row>
    <row r="261" spans="1:3" x14ac:dyDescent="0.25">
      <c r="A261" t="s">
        <v>603</v>
      </c>
      <c r="B261" t="s">
        <v>1410</v>
      </c>
      <c r="C261" t="s">
        <v>2570</v>
      </c>
    </row>
    <row r="262" spans="1:3" x14ac:dyDescent="0.25">
      <c r="A262" t="s">
        <v>603</v>
      </c>
      <c r="B262" t="s">
        <v>1411</v>
      </c>
      <c r="C262" t="s">
        <v>2571</v>
      </c>
    </row>
    <row r="264" spans="1:3" x14ac:dyDescent="0.25">
      <c r="A264" t="s">
        <v>1412</v>
      </c>
      <c r="B264" t="s">
        <v>1413</v>
      </c>
      <c r="C264" t="s">
        <v>2573</v>
      </c>
    </row>
    <row r="265" spans="1:3" x14ac:dyDescent="0.25">
      <c r="A265" t="s">
        <v>1412</v>
      </c>
      <c r="B265" t="s">
        <v>1414</v>
      </c>
      <c r="C265" t="s">
        <v>2574</v>
      </c>
    </row>
    <row r="266" spans="1:3" x14ac:dyDescent="0.25">
      <c r="A266" t="s">
        <v>1412</v>
      </c>
      <c r="B266" t="s">
        <v>1415</v>
      </c>
      <c r="C266" t="s">
        <v>2578</v>
      </c>
    </row>
    <row r="267" spans="1:3" x14ac:dyDescent="0.25">
      <c r="A267" t="s">
        <v>1412</v>
      </c>
      <c r="B267" t="s">
        <v>1416</v>
      </c>
      <c r="C267" t="s">
        <v>2575</v>
      </c>
    </row>
    <row r="268" spans="1:3" x14ac:dyDescent="0.25">
      <c r="A268" t="s">
        <v>1412</v>
      </c>
      <c r="B268" t="s">
        <v>1417</v>
      </c>
      <c r="C268" t="s">
        <v>2576</v>
      </c>
    </row>
    <row r="269" spans="1:3" x14ac:dyDescent="0.25">
      <c r="A269" t="s">
        <v>1412</v>
      </c>
      <c r="B269" t="s">
        <v>1418</v>
      </c>
      <c r="C269" t="s">
        <v>2577</v>
      </c>
    </row>
    <row r="271" spans="1:3" x14ac:dyDescent="0.25">
      <c r="A271" t="s">
        <v>1419</v>
      </c>
      <c r="B271" t="s">
        <v>1163</v>
      </c>
      <c r="C271" t="s">
        <v>2579</v>
      </c>
    </row>
    <row r="272" spans="1:3" x14ac:dyDescent="0.25">
      <c r="A272" t="s">
        <v>1419</v>
      </c>
      <c r="B272" t="s">
        <v>1420</v>
      </c>
      <c r="C272" t="s">
        <v>2580</v>
      </c>
    </row>
    <row r="273" spans="1:3" x14ac:dyDescent="0.25">
      <c r="A273" t="s">
        <v>1419</v>
      </c>
      <c r="B273" t="s">
        <v>664</v>
      </c>
      <c r="C273" t="s">
        <v>2419</v>
      </c>
    </row>
    <row r="274" spans="1:3" x14ac:dyDescent="0.25">
      <c r="A274" t="s">
        <v>1419</v>
      </c>
      <c r="B274" t="s">
        <v>1421</v>
      </c>
      <c r="C274" t="s">
        <v>2581</v>
      </c>
    </row>
    <row r="276" spans="1:3" x14ac:dyDescent="0.25">
      <c r="A276" t="s">
        <v>1422</v>
      </c>
      <c r="B276" t="s">
        <v>1420</v>
      </c>
      <c r="C276" t="s">
        <v>2580</v>
      </c>
    </row>
    <row r="277" spans="1:3" x14ac:dyDescent="0.25">
      <c r="A277" t="s">
        <v>1422</v>
      </c>
      <c r="B277" t="s">
        <v>664</v>
      </c>
      <c r="C277" t="s">
        <v>2419</v>
      </c>
    </row>
    <row r="278" spans="1:3" x14ac:dyDescent="0.25">
      <c r="A278" t="s">
        <v>1422</v>
      </c>
      <c r="B278" t="s">
        <v>1421</v>
      </c>
      <c r="C278" t="s">
        <v>2581</v>
      </c>
    </row>
    <row r="280" spans="1:3" x14ac:dyDescent="0.25">
      <c r="A280" t="s">
        <v>885</v>
      </c>
      <c r="B280" t="s">
        <v>1423</v>
      </c>
      <c r="C280" t="s">
        <v>2582</v>
      </c>
    </row>
    <row r="281" spans="1:3" x14ac:dyDescent="0.25">
      <c r="A281" t="s">
        <v>885</v>
      </c>
      <c r="B281" t="s">
        <v>1424</v>
      </c>
      <c r="C281" t="s">
        <v>2583</v>
      </c>
    </row>
    <row r="282" spans="1:3" x14ac:dyDescent="0.25">
      <c r="A282" t="s">
        <v>885</v>
      </c>
      <c r="B282" t="s">
        <v>1371</v>
      </c>
      <c r="C282" t="s">
        <v>2584</v>
      </c>
    </row>
    <row r="284" spans="1:3" x14ac:dyDescent="0.25">
      <c r="A284" t="s">
        <v>888</v>
      </c>
      <c r="B284" t="s">
        <v>1425</v>
      </c>
      <c r="C284" t="s">
        <v>2585</v>
      </c>
    </row>
    <row r="285" spans="1:3" x14ac:dyDescent="0.25">
      <c r="A285" t="s">
        <v>888</v>
      </c>
      <c r="B285" t="s">
        <v>1426</v>
      </c>
      <c r="C285" t="s">
        <v>2586</v>
      </c>
    </row>
    <row r="287" spans="1:3" x14ac:dyDescent="0.25">
      <c r="A287" t="s">
        <v>1427</v>
      </c>
      <c r="B287" t="s">
        <v>1428</v>
      </c>
      <c r="C287" t="s">
        <v>2587</v>
      </c>
    </row>
    <row r="288" spans="1:3" x14ac:dyDescent="0.25">
      <c r="A288" t="s">
        <v>1427</v>
      </c>
      <c r="B288" t="s">
        <v>1429</v>
      </c>
      <c r="C288" t="s">
        <v>2588</v>
      </c>
    </row>
    <row r="289" spans="1:3" x14ac:dyDescent="0.25">
      <c r="A289" t="s">
        <v>1427</v>
      </c>
      <c r="B289" t="s">
        <v>1430</v>
      </c>
      <c r="C289" t="s">
        <v>2589</v>
      </c>
    </row>
    <row r="291" spans="1:3" x14ac:dyDescent="0.25">
      <c r="A291" t="s">
        <v>1431</v>
      </c>
      <c r="B291" t="s">
        <v>1432</v>
      </c>
      <c r="C291" t="s">
        <v>1176</v>
      </c>
    </row>
    <row r="292" spans="1:3" x14ac:dyDescent="0.25">
      <c r="A292" t="s">
        <v>1431</v>
      </c>
      <c r="B292" t="s">
        <v>1253</v>
      </c>
      <c r="C292" t="s">
        <v>1254</v>
      </c>
    </row>
    <row r="293" spans="1:3" x14ac:dyDescent="0.25">
      <c r="A293" t="s">
        <v>1431</v>
      </c>
      <c r="B293" t="s">
        <v>1433</v>
      </c>
      <c r="C293" t="s">
        <v>2590</v>
      </c>
    </row>
    <row r="294" spans="1:3" x14ac:dyDescent="0.25">
      <c r="A294" t="s">
        <v>1431</v>
      </c>
      <c r="B294" t="s">
        <v>1434</v>
      </c>
      <c r="C294" t="s">
        <v>2591</v>
      </c>
    </row>
    <row r="295" spans="1:3" x14ac:dyDescent="0.25">
      <c r="A295" t="s">
        <v>1431</v>
      </c>
      <c r="B295" t="s">
        <v>1435</v>
      </c>
      <c r="C295" t="s">
        <v>2592</v>
      </c>
    </row>
    <row r="296" spans="1:3" x14ac:dyDescent="0.25">
      <c r="A296" t="s">
        <v>1431</v>
      </c>
      <c r="B296" t="s">
        <v>1436</v>
      </c>
      <c r="C296" t="s">
        <v>2593</v>
      </c>
    </row>
    <row r="297" spans="1:3" x14ac:dyDescent="0.25">
      <c r="A297" t="s">
        <v>1431</v>
      </c>
      <c r="B297" t="s">
        <v>1437</v>
      </c>
      <c r="C297" t="s">
        <v>2594</v>
      </c>
    </row>
    <row r="299" spans="1:3" x14ac:dyDescent="0.25">
      <c r="A299" t="s">
        <v>1438</v>
      </c>
      <c r="B299" t="s">
        <v>1439</v>
      </c>
      <c r="C299" t="s">
        <v>2596</v>
      </c>
    </row>
    <row r="300" spans="1:3" x14ac:dyDescent="0.25">
      <c r="A300" t="s">
        <v>1438</v>
      </c>
      <c r="B300" t="s">
        <v>1440</v>
      </c>
      <c r="C300" t="s">
        <v>2597</v>
      </c>
    </row>
    <row r="301" spans="1:3" x14ac:dyDescent="0.25">
      <c r="A301" t="s">
        <v>1438</v>
      </c>
      <c r="B301" t="s">
        <v>1441</v>
      </c>
      <c r="C301" t="s">
        <v>2595</v>
      </c>
    </row>
    <row r="303" spans="1:3" x14ac:dyDescent="0.25">
      <c r="A303" t="s">
        <v>1442</v>
      </c>
      <c r="B303" t="s">
        <v>1443</v>
      </c>
      <c r="C303" t="s">
        <v>2599</v>
      </c>
    </row>
    <row r="304" spans="1:3" x14ac:dyDescent="0.25">
      <c r="A304" t="s">
        <v>1442</v>
      </c>
      <c r="B304" t="s">
        <v>1444</v>
      </c>
      <c r="C304" t="s">
        <v>2598</v>
      </c>
    </row>
    <row r="306" spans="1:3" x14ac:dyDescent="0.25">
      <c r="A306" t="s">
        <v>1445</v>
      </c>
      <c r="B306" t="s">
        <v>1446</v>
      </c>
      <c r="C306" t="s">
        <v>2623</v>
      </c>
    </row>
    <row r="307" spans="1:3" x14ac:dyDescent="0.25">
      <c r="A307" t="s">
        <v>1445</v>
      </c>
      <c r="B307" t="s">
        <v>1447</v>
      </c>
      <c r="C307" t="s">
        <v>2624</v>
      </c>
    </row>
    <row r="308" spans="1:3" x14ac:dyDescent="0.25">
      <c r="A308" t="s">
        <v>1445</v>
      </c>
      <c r="B308" t="s">
        <v>1448</v>
      </c>
      <c r="C308" t="s">
        <v>2625</v>
      </c>
    </row>
    <row r="309" spans="1:3" x14ac:dyDescent="0.25">
      <c r="A309" t="s">
        <v>1445</v>
      </c>
      <c r="B309" t="s">
        <v>1449</v>
      </c>
      <c r="C309" t="s">
        <v>2626</v>
      </c>
    </row>
    <row r="310" spans="1:3" x14ac:dyDescent="0.25">
      <c r="A310" t="s">
        <v>1445</v>
      </c>
      <c r="B310" t="s">
        <v>1450</v>
      </c>
      <c r="C310" t="s">
        <v>2627</v>
      </c>
    </row>
    <row r="311" spans="1:3" x14ac:dyDescent="0.25">
      <c r="A311" t="s">
        <v>1445</v>
      </c>
      <c r="B311" t="s">
        <v>1451</v>
      </c>
      <c r="C311" t="s">
        <v>2628</v>
      </c>
    </row>
    <row r="312" spans="1:3" x14ac:dyDescent="0.25">
      <c r="A312" t="s">
        <v>1445</v>
      </c>
      <c r="B312" t="s">
        <v>1452</v>
      </c>
      <c r="C312" t="s">
        <v>2629</v>
      </c>
    </row>
    <row r="313" spans="1:3" x14ac:dyDescent="0.25">
      <c r="A313" t="s">
        <v>1445</v>
      </c>
      <c r="B313" t="s">
        <v>1453</v>
      </c>
      <c r="C313" t="s">
        <v>2630</v>
      </c>
    </row>
    <row r="315" spans="1:3" x14ac:dyDescent="0.25">
      <c r="A315" t="s">
        <v>1454</v>
      </c>
      <c r="B315" t="s">
        <v>1455</v>
      </c>
      <c r="C315" t="s">
        <v>2631</v>
      </c>
    </row>
    <row r="316" spans="1:3" x14ac:dyDescent="0.25">
      <c r="A316" t="s">
        <v>1454</v>
      </c>
      <c r="B316" t="s">
        <v>1456</v>
      </c>
      <c r="C316" t="s">
        <v>2632</v>
      </c>
    </row>
    <row r="317" spans="1:3" x14ac:dyDescent="0.25">
      <c r="A317" t="s">
        <v>1454</v>
      </c>
      <c r="B317" t="s">
        <v>1457</v>
      </c>
      <c r="C317" t="s">
        <v>2635</v>
      </c>
    </row>
    <row r="318" spans="1:3" x14ac:dyDescent="0.25">
      <c r="A318" t="s">
        <v>1454</v>
      </c>
      <c r="B318" t="s">
        <v>1458</v>
      </c>
      <c r="C318" t="s">
        <v>2633</v>
      </c>
    </row>
    <row r="319" spans="1:3" x14ac:dyDescent="0.25">
      <c r="A319" t="s">
        <v>1454</v>
      </c>
      <c r="B319" t="s">
        <v>1459</v>
      </c>
      <c r="C319" t="s">
        <v>2636</v>
      </c>
    </row>
    <row r="320" spans="1:3" x14ac:dyDescent="0.25">
      <c r="A320" t="s">
        <v>1454</v>
      </c>
      <c r="B320" t="s">
        <v>1460</v>
      </c>
      <c r="C320" t="s">
        <v>2634</v>
      </c>
    </row>
    <row r="322" spans="1:3" x14ac:dyDescent="0.25">
      <c r="A322" t="s">
        <v>1058</v>
      </c>
      <c r="B322" t="s">
        <v>1461</v>
      </c>
      <c r="C322" t="s">
        <v>2637</v>
      </c>
    </row>
    <row r="323" spans="1:3" x14ac:dyDescent="0.25">
      <c r="A323" t="s">
        <v>1058</v>
      </c>
      <c r="B323" t="s">
        <v>1462</v>
      </c>
      <c r="C323" t="s">
        <v>2638</v>
      </c>
    </row>
    <row r="324" spans="1:3" x14ac:dyDescent="0.25">
      <c r="A324" t="s">
        <v>1058</v>
      </c>
      <c r="B324" t="s">
        <v>1463</v>
      </c>
      <c r="C324" t="s">
        <v>2639</v>
      </c>
    </row>
    <row r="325" spans="1:3" x14ac:dyDescent="0.25">
      <c r="A325" t="s">
        <v>1058</v>
      </c>
      <c r="B325" t="s">
        <v>1464</v>
      </c>
      <c r="C325" t="s">
        <v>2640</v>
      </c>
    </row>
    <row r="326" spans="1:3" x14ac:dyDescent="0.25">
      <c r="A326" t="s">
        <v>1058</v>
      </c>
      <c r="B326" t="s">
        <v>1465</v>
      </c>
      <c r="C326" t="s">
        <v>2641</v>
      </c>
    </row>
    <row r="327" spans="1:3" x14ac:dyDescent="0.25">
      <c r="A327" t="s">
        <v>1058</v>
      </c>
      <c r="B327" t="s">
        <v>1460</v>
      </c>
      <c r="C327" t="s">
        <v>2642</v>
      </c>
    </row>
    <row r="329" spans="1:3" x14ac:dyDescent="0.25">
      <c r="A329" t="s">
        <v>1066</v>
      </c>
      <c r="B329" t="s">
        <v>1368</v>
      </c>
      <c r="C329" t="s">
        <v>2643</v>
      </c>
    </row>
    <row r="330" spans="1:3" x14ac:dyDescent="0.25">
      <c r="A330" t="s">
        <v>1066</v>
      </c>
      <c r="B330" t="s">
        <v>1466</v>
      </c>
      <c r="C330" t="s">
        <v>2644</v>
      </c>
    </row>
    <row r="331" spans="1:3" x14ac:dyDescent="0.25">
      <c r="A331" t="s">
        <v>1066</v>
      </c>
      <c r="B331" t="s">
        <v>1367</v>
      </c>
      <c r="C331" t="s">
        <v>2645</v>
      </c>
    </row>
    <row r="332" spans="1:3" x14ac:dyDescent="0.25">
      <c r="A332" t="s">
        <v>1066</v>
      </c>
      <c r="B332" t="s">
        <v>1467</v>
      </c>
      <c r="C332" t="s">
        <v>2646</v>
      </c>
    </row>
    <row r="334" spans="1:3" x14ac:dyDescent="0.25">
      <c r="A334" t="s">
        <v>1468</v>
      </c>
      <c r="B334" t="s">
        <v>1469</v>
      </c>
      <c r="C334" t="s">
        <v>2419</v>
      </c>
    </row>
    <row r="335" spans="1:3" x14ac:dyDescent="0.25">
      <c r="A335" t="s">
        <v>1468</v>
      </c>
      <c r="B335" t="s">
        <v>1470</v>
      </c>
      <c r="C335" t="s">
        <v>2414</v>
      </c>
    </row>
    <row r="336" spans="1:3" x14ac:dyDescent="0.25">
      <c r="A336" t="s">
        <v>1468</v>
      </c>
      <c r="B336" t="s">
        <v>1471</v>
      </c>
      <c r="C336" t="s">
        <v>2647</v>
      </c>
    </row>
    <row r="337" spans="1:3" x14ac:dyDescent="0.25">
      <c r="A337" t="s">
        <v>1468</v>
      </c>
      <c r="B337" t="s">
        <v>1163</v>
      </c>
      <c r="C337" t="s">
        <v>2648</v>
      </c>
    </row>
    <row r="339" spans="1:3" x14ac:dyDescent="0.25">
      <c r="A339" t="s">
        <v>1472</v>
      </c>
      <c r="B339" t="s">
        <v>1449</v>
      </c>
      <c r="C339" t="s">
        <v>2626</v>
      </c>
    </row>
    <row r="340" spans="1:3" x14ac:dyDescent="0.25">
      <c r="A340" t="s">
        <v>1472</v>
      </c>
      <c r="B340" t="s">
        <v>1450</v>
      </c>
      <c r="C340" t="s">
        <v>2627</v>
      </c>
    </row>
    <row r="341" spans="1:3" x14ac:dyDescent="0.25">
      <c r="A341" t="s">
        <v>1472</v>
      </c>
      <c r="B341" t="s">
        <v>1451</v>
      </c>
      <c r="C341" t="s">
        <v>2628</v>
      </c>
    </row>
    <row r="342" spans="1:3" x14ac:dyDescent="0.25">
      <c r="A342" t="s">
        <v>1472</v>
      </c>
      <c r="B342" t="s">
        <v>1452</v>
      </c>
      <c r="C342" t="s">
        <v>2629</v>
      </c>
    </row>
    <row r="343" spans="1:3" x14ac:dyDescent="0.25">
      <c r="A343" t="s">
        <v>1472</v>
      </c>
      <c r="B343" t="s">
        <v>1453</v>
      </c>
      <c r="C343" t="s">
        <v>2630</v>
      </c>
    </row>
    <row r="345" spans="1:3" x14ac:dyDescent="0.25">
      <c r="A345" t="s">
        <v>1473</v>
      </c>
      <c r="B345" t="s">
        <v>1474</v>
      </c>
      <c r="C345" t="s">
        <v>2650</v>
      </c>
    </row>
    <row r="346" spans="1:3" x14ac:dyDescent="0.25">
      <c r="A346" t="s">
        <v>1473</v>
      </c>
      <c r="B346" t="s">
        <v>1209</v>
      </c>
      <c r="C346" t="s">
        <v>2651</v>
      </c>
    </row>
    <row r="347" spans="1:3" x14ac:dyDescent="0.25">
      <c r="A347" t="s">
        <v>1473</v>
      </c>
      <c r="B347" t="s">
        <v>1475</v>
      </c>
      <c r="C347" t="s">
        <v>2649</v>
      </c>
    </row>
    <row r="349" spans="1:3" x14ac:dyDescent="0.25">
      <c r="A349" t="s">
        <v>1476</v>
      </c>
      <c r="B349" t="s">
        <v>1477</v>
      </c>
      <c r="C349" t="s">
        <v>2671</v>
      </c>
    </row>
    <row r="350" spans="1:3" x14ac:dyDescent="0.25">
      <c r="A350" t="s">
        <v>1476</v>
      </c>
      <c r="B350" t="s">
        <v>1478</v>
      </c>
      <c r="C350" t="s">
        <v>2672</v>
      </c>
    </row>
    <row r="351" spans="1:3" x14ac:dyDescent="0.25">
      <c r="A351" t="s">
        <v>1476</v>
      </c>
      <c r="B351" t="s">
        <v>1479</v>
      </c>
      <c r="C351" t="s">
        <v>2673</v>
      </c>
    </row>
    <row r="352" spans="1:3" x14ac:dyDescent="0.25">
      <c r="A352" t="s">
        <v>1476</v>
      </c>
      <c r="B352" t="s">
        <v>1474</v>
      </c>
      <c r="C352" t="s">
        <v>2674</v>
      </c>
    </row>
    <row r="353" spans="1:3" x14ac:dyDescent="0.25">
      <c r="A353" t="s">
        <v>1476</v>
      </c>
      <c r="B353" t="s">
        <v>1475</v>
      </c>
      <c r="C353" t="s">
        <v>2649</v>
      </c>
    </row>
    <row r="354" spans="1:3" x14ac:dyDescent="0.25">
      <c r="A354" t="s">
        <v>1476</v>
      </c>
      <c r="B354" t="s">
        <v>1480</v>
      </c>
      <c r="C354" t="s">
        <v>2675</v>
      </c>
    </row>
    <row r="356" spans="1:3" x14ac:dyDescent="0.25">
      <c r="A356" t="s">
        <v>1481</v>
      </c>
      <c r="B356" t="s">
        <v>1482</v>
      </c>
      <c r="C356" t="s">
        <v>2654</v>
      </c>
    </row>
    <row r="357" spans="1:3" x14ac:dyDescent="0.25">
      <c r="A357" t="s">
        <v>1481</v>
      </c>
      <c r="B357" t="s">
        <v>1483</v>
      </c>
      <c r="C357" t="s">
        <v>2655</v>
      </c>
    </row>
    <row r="358" spans="1:3" x14ac:dyDescent="0.25">
      <c r="A358" t="s">
        <v>1481</v>
      </c>
      <c r="B358" t="s">
        <v>1484</v>
      </c>
      <c r="C358" t="s">
        <v>2656</v>
      </c>
    </row>
    <row r="359" spans="1:3" x14ac:dyDescent="0.25">
      <c r="A359" t="s">
        <v>1481</v>
      </c>
      <c r="B359" t="s">
        <v>1485</v>
      </c>
      <c r="C359" t="s">
        <v>2658</v>
      </c>
    </row>
    <row r="360" spans="1:3" x14ac:dyDescent="0.25">
      <c r="A360" t="s">
        <v>1481</v>
      </c>
      <c r="B360" t="s">
        <v>1486</v>
      </c>
      <c r="C360" t="s">
        <v>2657</v>
      </c>
    </row>
    <row r="361" spans="1:3" x14ac:dyDescent="0.25">
      <c r="A361" t="s">
        <v>1481</v>
      </c>
      <c r="B361" t="s">
        <v>1487</v>
      </c>
      <c r="C361" t="s">
        <v>2660</v>
      </c>
    </row>
    <row r="363" spans="1:3" x14ac:dyDescent="0.25">
      <c r="A363" t="s">
        <v>1488</v>
      </c>
      <c r="B363" t="s">
        <v>1436</v>
      </c>
      <c r="C363" t="s">
        <v>2593</v>
      </c>
    </row>
    <row r="364" spans="1:3" x14ac:dyDescent="0.25">
      <c r="A364" t="s">
        <v>1488</v>
      </c>
      <c r="B364" t="s">
        <v>1489</v>
      </c>
      <c r="C364" t="s">
        <v>2661</v>
      </c>
    </row>
    <row r="365" spans="1:3" x14ac:dyDescent="0.25">
      <c r="A365" t="s">
        <v>1488</v>
      </c>
      <c r="B365" t="s">
        <v>1490</v>
      </c>
      <c r="C365" t="s">
        <v>2662</v>
      </c>
    </row>
    <row r="366" spans="1:3" x14ac:dyDescent="0.25">
      <c r="A366" t="s">
        <v>1488</v>
      </c>
      <c r="B366" t="s">
        <v>1276</v>
      </c>
      <c r="C366" t="s">
        <v>2663</v>
      </c>
    </row>
    <row r="367" spans="1:3" x14ac:dyDescent="0.25">
      <c r="A367" t="s">
        <v>1488</v>
      </c>
      <c r="B367" t="s">
        <v>1487</v>
      </c>
      <c r="C367" t="s">
        <v>2660</v>
      </c>
    </row>
    <row r="369" spans="1:3" x14ac:dyDescent="0.25">
      <c r="A369" t="s">
        <v>1491</v>
      </c>
      <c r="B369" t="s">
        <v>1492</v>
      </c>
      <c r="C369" t="s">
        <v>2664</v>
      </c>
    </row>
    <row r="370" spans="1:3" x14ac:dyDescent="0.25">
      <c r="A370" t="s">
        <v>1491</v>
      </c>
      <c r="B370" t="s">
        <v>1439</v>
      </c>
      <c r="C370" t="s">
        <v>2665</v>
      </c>
    </row>
    <row r="371" spans="1:3" x14ac:dyDescent="0.25">
      <c r="A371" t="s">
        <v>1491</v>
      </c>
      <c r="B371" t="s">
        <v>1441</v>
      </c>
      <c r="C371" t="s">
        <v>2595</v>
      </c>
    </row>
    <row r="373" spans="1:3" x14ac:dyDescent="0.25">
      <c r="A373" t="s">
        <v>1493</v>
      </c>
      <c r="B373" t="s">
        <v>1249</v>
      </c>
      <c r="C373" t="s">
        <v>2666</v>
      </c>
    </row>
    <row r="374" spans="1:3" x14ac:dyDescent="0.25">
      <c r="A374" t="s">
        <v>1493</v>
      </c>
      <c r="B374" t="s">
        <v>1494</v>
      </c>
      <c r="C374" t="s">
        <v>2667</v>
      </c>
    </row>
    <row r="375" spans="1:3" x14ac:dyDescent="0.25">
      <c r="A375" t="s">
        <v>1493</v>
      </c>
      <c r="B375" t="s">
        <v>1495</v>
      </c>
      <c r="C375" t="s">
        <v>2592</v>
      </c>
    </row>
    <row r="376" spans="1:3" x14ac:dyDescent="0.25">
      <c r="A376" t="s">
        <v>1493</v>
      </c>
      <c r="B376" t="s">
        <v>1496</v>
      </c>
      <c r="C376" t="s">
        <v>2668</v>
      </c>
    </row>
    <row r="377" spans="1:3" x14ac:dyDescent="0.25">
      <c r="A377" t="s">
        <v>1493</v>
      </c>
      <c r="B377" t="s">
        <v>1253</v>
      </c>
      <c r="C377" t="s">
        <v>2669</v>
      </c>
    </row>
    <row r="378" spans="1:3" x14ac:dyDescent="0.25">
      <c r="A378" t="s">
        <v>1493</v>
      </c>
      <c r="B378" t="s">
        <v>1433</v>
      </c>
      <c r="C378" t="s">
        <v>2670</v>
      </c>
    </row>
    <row r="379" spans="1:3" x14ac:dyDescent="0.25">
      <c r="A379" t="s">
        <v>1493</v>
      </c>
      <c r="B379" t="s">
        <v>1437</v>
      </c>
      <c r="C379" t="s">
        <v>2594</v>
      </c>
    </row>
    <row r="381" spans="1:3" x14ac:dyDescent="0.25">
      <c r="A381" t="s">
        <v>1497</v>
      </c>
      <c r="B381" t="s">
        <v>1482</v>
      </c>
      <c r="C381" t="s">
        <v>2654</v>
      </c>
    </row>
    <row r="382" spans="1:3" x14ac:dyDescent="0.25">
      <c r="A382" t="s">
        <v>1497</v>
      </c>
      <c r="B382" t="s">
        <v>1483</v>
      </c>
      <c r="C382" t="s">
        <v>2655</v>
      </c>
    </row>
    <row r="383" spans="1:3" x14ac:dyDescent="0.25">
      <c r="A383" t="s">
        <v>1497</v>
      </c>
      <c r="B383" t="s">
        <v>1485</v>
      </c>
      <c r="C383" t="s">
        <v>2658</v>
      </c>
    </row>
    <row r="384" spans="1:3" x14ac:dyDescent="0.25">
      <c r="A384" t="s">
        <v>1497</v>
      </c>
      <c r="B384" t="s">
        <v>1484</v>
      </c>
      <c r="C384" t="s">
        <v>2656</v>
      </c>
    </row>
    <row r="385" spans="1:3" x14ac:dyDescent="0.25">
      <c r="A385" t="s">
        <v>1497</v>
      </c>
      <c r="B385" t="s">
        <v>1498</v>
      </c>
      <c r="C385" t="s">
        <v>2659</v>
      </c>
    </row>
    <row r="386" spans="1:3" x14ac:dyDescent="0.25">
      <c r="A386" t="s">
        <v>1497</v>
      </c>
      <c r="B386" t="s">
        <v>1486</v>
      </c>
      <c r="C386" t="s">
        <v>2657</v>
      </c>
    </row>
    <row r="388" spans="1:3" x14ac:dyDescent="0.25">
      <c r="A388" t="s">
        <v>1103</v>
      </c>
      <c r="B388" t="s">
        <v>1499</v>
      </c>
      <c r="C388" t="s">
        <v>2676</v>
      </c>
    </row>
    <row r="389" spans="1:3" x14ac:dyDescent="0.25">
      <c r="A389" t="s">
        <v>1103</v>
      </c>
      <c r="B389" t="s">
        <v>1500</v>
      </c>
      <c r="C389" t="s">
        <v>2677</v>
      </c>
    </row>
    <row r="390" spans="1:3" x14ac:dyDescent="0.25">
      <c r="A390" t="s">
        <v>1103</v>
      </c>
      <c r="B390" t="s">
        <v>1501</v>
      </c>
      <c r="C390" t="s">
        <v>2678</v>
      </c>
    </row>
    <row r="391" spans="1:3" x14ac:dyDescent="0.25">
      <c r="A391" t="s">
        <v>1103</v>
      </c>
      <c r="B391" t="s">
        <v>1502</v>
      </c>
      <c r="C391" t="s">
        <v>2679</v>
      </c>
    </row>
    <row r="392" spans="1:3" x14ac:dyDescent="0.25">
      <c r="A392" t="s">
        <v>1103</v>
      </c>
      <c r="B392" t="s">
        <v>1503</v>
      </c>
      <c r="C392" t="s">
        <v>2680</v>
      </c>
    </row>
    <row r="393" spans="1:3" x14ac:dyDescent="0.25">
      <c r="A393" t="s">
        <v>1103</v>
      </c>
      <c r="B393" t="s">
        <v>1504</v>
      </c>
      <c r="C393" t="s">
        <v>2681</v>
      </c>
    </row>
    <row r="395" spans="1:3" x14ac:dyDescent="0.25">
      <c r="A395" t="s">
        <v>1505</v>
      </c>
      <c r="B395" t="s">
        <v>1506</v>
      </c>
      <c r="C395" t="s">
        <v>2682</v>
      </c>
    </row>
    <row r="396" spans="1:3" x14ac:dyDescent="0.25">
      <c r="A396" t="s">
        <v>1505</v>
      </c>
      <c r="B396" t="s">
        <v>1507</v>
      </c>
      <c r="C396" t="s">
        <v>2683</v>
      </c>
    </row>
    <row r="398" spans="1:3" x14ac:dyDescent="0.25">
      <c r="A398" t="s">
        <v>1508</v>
      </c>
      <c r="B398" t="s">
        <v>1509</v>
      </c>
      <c r="C398" t="s">
        <v>1510</v>
      </c>
    </row>
    <row r="399" spans="1:3" x14ac:dyDescent="0.25">
      <c r="A399" t="s">
        <v>1508</v>
      </c>
      <c r="B399" t="s">
        <v>1511</v>
      </c>
      <c r="C399" t="s">
        <v>2695</v>
      </c>
    </row>
    <row r="400" spans="1:3" x14ac:dyDescent="0.25">
      <c r="A400" t="s">
        <v>1508</v>
      </c>
      <c r="B400" t="s">
        <v>1512</v>
      </c>
      <c r="C400" t="s">
        <v>2687</v>
      </c>
    </row>
    <row r="401" spans="1:3" x14ac:dyDescent="0.25">
      <c r="A401" t="s">
        <v>1508</v>
      </c>
      <c r="B401" t="s">
        <v>1513</v>
      </c>
      <c r="C401" t="s">
        <v>2688</v>
      </c>
    </row>
    <row r="402" spans="1:3" x14ac:dyDescent="0.25">
      <c r="A402" t="s">
        <v>1508</v>
      </c>
      <c r="B402" t="s">
        <v>1514</v>
      </c>
      <c r="C402" t="s">
        <v>2689</v>
      </c>
    </row>
    <row r="403" spans="1:3" x14ac:dyDescent="0.25">
      <c r="A403" t="s">
        <v>1508</v>
      </c>
      <c r="B403" t="s">
        <v>1515</v>
      </c>
      <c r="C403" t="s">
        <v>2690</v>
      </c>
    </row>
    <row r="404" spans="1:3" x14ac:dyDescent="0.25">
      <c r="A404" t="s">
        <v>1508</v>
      </c>
      <c r="B404" t="s">
        <v>1516</v>
      </c>
      <c r="C404" t="s">
        <v>2691</v>
      </c>
    </row>
    <row r="405" spans="1:3" x14ac:dyDescent="0.25">
      <c r="A405" t="s">
        <v>1508</v>
      </c>
      <c r="B405" t="s">
        <v>1517</v>
      </c>
      <c r="C405" t="s">
        <v>2692</v>
      </c>
    </row>
    <row r="406" spans="1:3" x14ac:dyDescent="0.25">
      <c r="A406" t="s">
        <v>1508</v>
      </c>
      <c r="B406" t="s">
        <v>1518</v>
      </c>
      <c r="C406" t="s">
        <v>2693</v>
      </c>
    </row>
    <row r="407" spans="1:3" x14ac:dyDescent="0.25">
      <c r="A407" t="s">
        <v>1508</v>
      </c>
      <c r="B407" t="s">
        <v>1519</v>
      </c>
      <c r="C407" t="s">
        <v>2694</v>
      </c>
    </row>
    <row r="408" spans="1:3" x14ac:dyDescent="0.25">
      <c r="A408" t="s">
        <v>1508</v>
      </c>
      <c r="B408" t="s">
        <v>1520</v>
      </c>
      <c r="C408" t="s">
        <v>2686</v>
      </c>
    </row>
    <row r="410" spans="1:3" x14ac:dyDescent="0.25">
      <c r="A410" t="s">
        <v>1092</v>
      </c>
      <c r="B410" t="s">
        <v>1521</v>
      </c>
      <c r="C410" t="s">
        <v>2685</v>
      </c>
    </row>
    <row r="411" spans="1:3" x14ac:dyDescent="0.25">
      <c r="A411" t="s">
        <v>1092</v>
      </c>
      <c r="B411" t="s">
        <v>1522</v>
      </c>
      <c r="C411" t="s">
        <v>2684</v>
      </c>
    </row>
    <row r="413" spans="1:3" x14ac:dyDescent="0.25">
      <c r="A413" t="s">
        <v>1523</v>
      </c>
      <c r="B413" t="s">
        <v>1524</v>
      </c>
      <c r="C413" t="s">
        <v>1525</v>
      </c>
    </row>
    <row r="414" spans="1:3" x14ac:dyDescent="0.25">
      <c r="A414" t="s">
        <v>1523</v>
      </c>
      <c r="B414" t="s">
        <v>1526</v>
      </c>
      <c r="C414" t="s">
        <v>1527</v>
      </c>
    </row>
    <row r="416" spans="1:3" x14ac:dyDescent="0.25">
      <c r="A416" t="s">
        <v>57</v>
      </c>
      <c r="B416" s="45">
        <v>34</v>
      </c>
      <c r="C416" t="s">
        <v>1528</v>
      </c>
    </row>
    <row r="417" spans="1:4" x14ac:dyDescent="0.25">
      <c r="A417" t="s">
        <v>57</v>
      </c>
      <c r="B417" s="45">
        <v>22</v>
      </c>
      <c r="C417" t="s">
        <v>1529</v>
      </c>
    </row>
    <row r="418" spans="1:4" x14ac:dyDescent="0.25">
      <c r="A418" t="s">
        <v>57</v>
      </c>
      <c r="B418" s="45">
        <v>16</v>
      </c>
      <c r="C418" t="s">
        <v>1530</v>
      </c>
    </row>
    <row r="419" spans="1:4" x14ac:dyDescent="0.25">
      <c r="B419" s="45"/>
    </row>
    <row r="420" spans="1:4" x14ac:dyDescent="0.25">
      <c r="A420" t="s">
        <v>1080</v>
      </c>
      <c r="B420" s="45" t="s">
        <v>1531</v>
      </c>
      <c r="C420" t="s">
        <v>2696</v>
      </c>
    </row>
    <row r="421" spans="1:4" x14ac:dyDescent="0.25">
      <c r="A421" t="s">
        <v>1080</v>
      </c>
      <c r="B421" s="45" t="s">
        <v>1532</v>
      </c>
      <c r="C421" t="s">
        <v>2697</v>
      </c>
    </row>
    <row r="423" spans="1:4" x14ac:dyDescent="0.25">
      <c r="A423" t="s">
        <v>1533</v>
      </c>
      <c r="B423" s="45" t="s">
        <v>1534</v>
      </c>
      <c r="C423" t="s">
        <v>2433</v>
      </c>
    </row>
    <row r="424" spans="1:4" x14ac:dyDescent="0.25">
      <c r="A424" t="s">
        <v>1533</v>
      </c>
      <c r="B424" s="45" t="s">
        <v>1535</v>
      </c>
      <c r="C424" t="s">
        <v>2434</v>
      </c>
    </row>
    <row r="425" spans="1:4" x14ac:dyDescent="0.25">
      <c r="B425" s="45"/>
    </row>
    <row r="426" spans="1:4" x14ac:dyDescent="0.25">
      <c r="A426" t="s">
        <v>1536</v>
      </c>
      <c r="B426" s="45" t="s">
        <v>1537</v>
      </c>
      <c r="C426" t="s">
        <v>2435</v>
      </c>
    </row>
    <row r="427" spans="1:4" x14ac:dyDescent="0.25">
      <c r="A427" t="s">
        <v>1536</v>
      </c>
      <c r="B427" s="45" t="s">
        <v>1538</v>
      </c>
      <c r="C427" t="s">
        <v>2436</v>
      </c>
      <c r="D427" s="81"/>
    </row>
    <row r="428" spans="1:4" x14ac:dyDescent="0.25">
      <c r="D428" s="82"/>
    </row>
    <row r="429" spans="1:4" x14ac:dyDescent="0.25">
      <c r="A429" t="s">
        <v>750</v>
      </c>
      <c r="B429" t="s">
        <v>1539</v>
      </c>
      <c r="C429" t="s">
        <v>1540</v>
      </c>
      <c r="D429" s="82"/>
    </row>
    <row r="430" spans="1:4" x14ac:dyDescent="0.25">
      <c r="A430" t="s">
        <v>750</v>
      </c>
      <c r="B430" t="s">
        <v>1541</v>
      </c>
      <c r="C430" t="s">
        <v>1542</v>
      </c>
    </row>
    <row r="431" spans="1:4" x14ac:dyDescent="0.25">
      <c r="A431" t="s">
        <v>750</v>
      </c>
      <c r="B431" t="s">
        <v>1543</v>
      </c>
      <c r="C431" t="s">
        <v>1544</v>
      </c>
    </row>
    <row r="432" spans="1:4" x14ac:dyDescent="0.25">
      <c r="A432" t="s">
        <v>750</v>
      </c>
      <c r="B432" t="s">
        <v>1545</v>
      </c>
      <c r="C432" t="s">
        <v>1546</v>
      </c>
    </row>
    <row r="433" spans="1:3" x14ac:dyDescent="0.25">
      <c r="A433" t="s">
        <v>750</v>
      </c>
      <c r="B433" t="s">
        <v>1547</v>
      </c>
      <c r="C433" t="s">
        <v>1548</v>
      </c>
    </row>
    <row r="434" spans="1:3" x14ac:dyDescent="0.25">
      <c r="A434" t="s">
        <v>750</v>
      </c>
      <c r="B434" t="s">
        <v>1549</v>
      </c>
      <c r="C434" t="s">
        <v>1550</v>
      </c>
    </row>
    <row r="435" spans="1:3" x14ac:dyDescent="0.25">
      <c r="A435" t="s">
        <v>750</v>
      </c>
      <c r="B435" t="s">
        <v>1551</v>
      </c>
      <c r="C435" t="s">
        <v>1552</v>
      </c>
    </row>
    <row r="436" spans="1:3" x14ac:dyDescent="0.25">
      <c r="A436" t="s">
        <v>750</v>
      </c>
      <c r="B436" t="s">
        <v>1553</v>
      </c>
      <c r="C436" t="s">
        <v>1554</v>
      </c>
    </row>
    <row r="437" spans="1:3" x14ac:dyDescent="0.25">
      <c r="A437" t="s">
        <v>750</v>
      </c>
      <c r="B437" t="s">
        <v>1555</v>
      </c>
      <c r="C437" t="s">
        <v>1556</v>
      </c>
    </row>
    <row r="438" spans="1:3" x14ac:dyDescent="0.25">
      <c r="A438" t="s">
        <v>750</v>
      </c>
      <c r="B438" t="s">
        <v>1557</v>
      </c>
      <c r="C438" t="s">
        <v>1558</v>
      </c>
    </row>
    <row r="439" spans="1:3" x14ac:dyDescent="0.25">
      <c r="A439" t="s">
        <v>750</v>
      </c>
      <c r="B439" t="s">
        <v>1559</v>
      </c>
      <c r="C439" t="s">
        <v>1560</v>
      </c>
    </row>
    <row r="440" spans="1:3" x14ac:dyDescent="0.25">
      <c r="A440" t="s">
        <v>750</v>
      </c>
      <c r="B440" t="s">
        <v>1561</v>
      </c>
      <c r="C440" t="s">
        <v>1562</v>
      </c>
    </row>
    <row r="441" spans="1:3" x14ac:dyDescent="0.25">
      <c r="A441" t="s">
        <v>750</v>
      </c>
      <c r="B441" t="s">
        <v>1563</v>
      </c>
      <c r="C441" t="s">
        <v>1564</v>
      </c>
    </row>
    <row r="442" spans="1:3" x14ac:dyDescent="0.25">
      <c r="A442" t="s">
        <v>750</v>
      </c>
      <c r="B442" t="s">
        <v>1565</v>
      </c>
      <c r="C442" t="s">
        <v>1566</v>
      </c>
    </row>
    <row r="443" spans="1:3" x14ac:dyDescent="0.25">
      <c r="A443" t="s">
        <v>750</v>
      </c>
      <c r="B443" t="s">
        <v>1567</v>
      </c>
      <c r="C443" t="s">
        <v>1568</v>
      </c>
    </row>
    <row r="444" spans="1:3" x14ac:dyDescent="0.25">
      <c r="A444" t="s">
        <v>750</v>
      </c>
      <c r="B444" t="s">
        <v>1569</v>
      </c>
      <c r="C444" t="s">
        <v>1570</v>
      </c>
    </row>
    <row r="445" spans="1:3" x14ac:dyDescent="0.25">
      <c r="A445" t="s">
        <v>750</v>
      </c>
      <c r="B445" t="s">
        <v>1571</v>
      </c>
      <c r="C445" t="s">
        <v>1572</v>
      </c>
    </row>
    <row r="446" spans="1:3" x14ac:dyDescent="0.25">
      <c r="A446" t="s">
        <v>750</v>
      </c>
      <c r="B446" t="s">
        <v>1573</v>
      </c>
      <c r="C446" t="s">
        <v>1574</v>
      </c>
    </row>
    <row r="447" spans="1:3" x14ac:dyDescent="0.25">
      <c r="A447" t="s">
        <v>750</v>
      </c>
      <c r="B447" t="s">
        <v>1575</v>
      </c>
      <c r="C447" t="s">
        <v>1576</v>
      </c>
    </row>
    <row r="448" spans="1:3" x14ac:dyDescent="0.25">
      <c r="A448" t="s">
        <v>750</v>
      </c>
      <c r="B448" t="s">
        <v>1577</v>
      </c>
      <c r="C448" t="s">
        <v>1578</v>
      </c>
    </row>
    <row r="449" spans="1:3" x14ac:dyDescent="0.25">
      <c r="A449" t="s">
        <v>750</v>
      </c>
      <c r="B449" t="s">
        <v>1579</v>
      </c>
      <c r="C449" t="s">
        <v>1580</v>
      </c>
    </row>
    <row r="450" spans="1:3" x14ac:dyDescent="0.25">
      <c r="A450" t="s">
        <v>750</v>
      </c>
      <c r="B450" t="s">
        <v>1581</v>
      </c>
      <c r="C450" t="s">
        <v>1582</v>
      </c>
    </row>
    <row r="451" spans="1:3" x14ac:dyDescent="0.25">
      <c r="A451" t="s">
        <v>750</v>
      </c>
      <c r="B451" t="s">
        <v>1583</v>
      </c>
      <c r="C451" t="s">
        <v>1584</v>
      </c>
    </row>
    <row r="452" spans="1:3" x14ac:dyDescent="0.25">
      <c r="A452" t="s">
        <v>750</v>
      </c>
      <c r="B452" t="s">
        <v>1585</v>
      </c>
      <c r="C452" t="s">
        <v>1586</v>
      </c>
    </row>
    <row r="453" spans="1:3" x14ac:dyDescent="0.25">
      <c r="A453" t="s">
        <v>750</v>
      </c>
      <c r="B453" t="s">
        <v>1587</v>
      </c>
      <c r="C453" t="s">
        <v>1588</v>
      </c>
    </row>
    <row r="454" spans="1:3" x14ac:dyDescent="0.25">
      <c r="A454" t="s">
        <v>750</v>
      </c>
      <c r="B454" t="s">
        <v>1589</v>
      </c>
      <c r="C454" t="s">
        <v>1590</v>
      </c>
    </row>
    <row r="455" spans="1:3" x14ac:dyDescent="0.25">
      <c r="A455" t="s">
        <v>750</v>
      </c>
      <c r="B455" t="s">
        <v>1591</v>
      </c>
      <c r="C455" t="s">
        <v>1592</v>
      </c>
    </row>
    <row r="456" spans="1:3" x14ac:dyDescent="0.25">
      <c r="A456" t="s">
        <v>750</v>
      </c>
      <c r="B456" t="s">
        <v>1593</v>
      </c>
      <c r="C456" t="s">
        <v>1594</v>
      </c>
    </row>
    <row r="457" spans="1:3" x14ac:dyDescent="0.25">
      <c r="A457" t="s">
        <v>750</v>
      </c>
      <c r="B457" t="s">
        <v>1595</v>
      </c>
      <c r="C457" t="s">
        <v>1596</v>
      </c>
    </row>
    <row r="458" spans="1:3" x14ac:dyDescent="0.25">
      <c r="A458" t="s">
        <v>750</v>
      </c>
      <c r="B458" t="s">
        <v>1597</v>
      </c>
      <c r="C458" t="s">
        <v>1598</v>
      </c>
    </row>
    <row r="459" spans="1:3" x14ac:dyDescent="0.25">
      <c r="A459" t="s">
        <v>750</v>
      </c>
      <c r="B459" t="s">
        <v>1599</v>
      </c>
      <c r="C459" t="s">
        <v>1600</v>
      </c>
    </row>
    <row r="460" spans="1:3" x14ac:dyDescent="0.25">
      <c r="A460" t="s">
        <v>750</v>
      </c>
      <c r="B460" t="s">
        <v>1601</v>
      </c>
      <c r="C460" t="s">
        <v>1602</v>
      </c>
    </row>
    <row r="461" spans="1:3" x14ac:dyDescent="0.25">
      <c r="A461" t="s">
        <v>750</v>
      </c>
      <c r="B461" t="s">
        <v>1603</v>
      </c>
      <c r="C461" t="s">
        <v>1604</v>
      </c>
    </row>
    <row r="462" spans="1:3" x14ac:dyDescent="0.25">
      <c r="A462" t="s">
        <v>750</v>
      </c>
      <c r="B462" t="s">
        <v>1605</v>
      </c>
      <c r="C462" t="s">
        <v>1606</v>
      </c>
    </row>
    <row r="463" spans="1:3" x14ac:dyDescent="0.25">
      <c r="A463" t="s">
        <v>750</v>
      </c>
      <c r="B463" t="s">
        <v>1607</v>
      </c>
      <c r="C463" t="s">
        <v>1608</v>
      </c>
    </row>
    <row r="464" spans="1:3" x14ac:dyDescent="0.25">
      <c r="A464" t="s">
        <v>750</v>
      </c>
      <c r="B464" t="s">
        <v>1609</v>
      </c>
      <c r="C464" t="s">
        <v>1610</v>
      </c>
    </row>
    <row r="465" spans="1:3" x14ac:dyDescent="0.25">
      <c r="A465" t="s">
        <v>750</v>
      </c>
      <c r="B465" t="s">
        <v>1611</v>
      </c>
      <c r="C465" t="s">
        <v>1612</v>
      </c>
    </row>
    <row r="466" spans="1:3" x14ac:dyDescent="0.25">
      <c r="A466" t="s">
        <v>750</v>
      </c>
      <c r="B466" t="s">
        <v>1613</v>
      </c>
      <c r="C466" t="s">
        <v>1614</v>
      </c>
    </row>
    <row r="467" spans="1:3" x14ac:dyDescent="0.25">
      <c r="A467" t="s">
        <v>750</v>
      </c>
      <c r="B467" t="s">
        <v>1615</v>
      </c>
      <c r="C467" t="s">
        <v>1616</v>
      </c>
    </row>
    <row r="468" spans="1:3" x14ac:dyDescent="0.25">
      <c r="A468" t="s">
        <v>750</v>
      </c>
      <c r="B468" t="s">
        <v>1617</v>
      </c>
      <c r="C468" t="s">
        <v>1618</v>
      </c>
    </row>
    <row r="469" spans="1:3" x14ac:dyDescent="0.25">
      <c r="A469" t="s">
        <v>750</v>
      </c>
      <c r="B469" t="s">
        <v>1619</v>
      </c>
      <c r="C469" t="s">
        <v>1620</v>
      </c>
    </row>
    <row r="470" spans="1:3" x14ac:dyDescent="0.25">
      <c r="A470" t="s">
        <v>750</v>
      </c>
      <c r="B470" t="s">
        <v>1621</v>
      </c>
      <c r="C470" t="s">
        <v>1622</v>
      </c>
    </row>
    <row r="471" spans="1:3" x14ac:dyDescent="0.25">
      <c r="A471" t="s">
        <v>750</v>
      </c>
      <c r="B471" t="s">
        <v>1623</v>
      </c>
      <c r="C471" t="s">
        <v>1624</v>
      </c>
    </row>
    <row r="472" spans="1:3" x14ac:dyDescent="0.25">
      <c r="A472" t="s">
        <v>750</v>
      </c>
      <c r="B472" t="s">
        <v>1625</v>
      </c>
      <c r="C472" t="s">
        <v>1626</v>
      </c>
    </row>
    <row r="473" spans="1:3" x14ac:dyDescent="0.25">
      <c r="A473" t="s">
        <v>750</v>
      </c>
      <c r="B473" t="s">
        <v>1627</v>
      </c>
      <c r="C473" t="s">
        <v>1628</v>
      </c>
    </row>
    <row r="474" spans="1:3" x14ac:dyDescent="0.25">
      <c r="A474" t="s">
        <v>750</v>
      </c>
      <c r="B474" t="s">
        <v>1629</v>
      </c>
      <c r="C474" t="s">
        <v>1630</v>
      </c>
    </row>
    <row r="475" spans="1:3" x14ac:dyDescent="0.25">
      <c r="A475" t="s">
        <v>750</v>
      </c>
      <c r="B475" t="s">
        <v>1631</v>
      </c>
      <c r="C475" t="s">
        <v>1632</v>
      </c>
    </row>
    <row r="476" spans="1:3" x14ac:dyDescent="0.25">
      <c r="A476" t="s">
        <v>750</v>
      </c>
      <c r="B476" t="s">
        <v>1633</v>
      </c>
      <c r="C476" t="s">
        <v>1634</v>
      </c>
    </row>
    <row r="477" spans="1:3" x14ac:dyDescent="0.25">
      <c r="A477" t="s">
        <v>750</v>
      </c>
      <c r="B477" t="s">
        <v>1635</v>
      </c>
      <c r="C477" t="s">
        <v>1636</v>
      </c>
    </row>
    <row r="478" spans="1:3" x14ac:dyDescent="0.25">
      <c r="A478" t="s">
        <v>750</v>
      </c>
      <c r="B478" t="s">
        <v>1637</v>
      </c>
      <c r="C478" t="s">
        <v>1638</v>
      </c>
    </row>
    <row r="479" spans="1:3" x14ac:dyDescent="0.25">
      <c r="A479" t="s">
        <v>750</v>
      </c>
      <c r="B479" t="s">
        <v>1639</v>
      </c>
      <c r="C479" t="s">
        <v>1640</v>
      </c>
    </row>
    <row r="480" spans="1:3" x14ac:dyDescent="0.25">
      <c r="A480" t="s">
        <v>750</v>
      </c>
      <c r="B480" t="s">
        <v>1641</v>
      </c>
      <c r="C480" t="s">
        <v>1642</v>
      </c>
    </row>
    <row r="481" spans="1:3" x14ac:dyDescent="0.25">
      <c r="A481" t="s">
        <v>750</v>
      </c>
      <c r="B481" t="s">
        <v>1643</v>
      </c>
      <c r="C481" t="s">
        <v>1644</v>
      </c>
    </row>
    <row r="482" spans="1:3" x14ac:dyDescent="0.25">
      <c r="A482" t="s">
        <v>750</v>
      </c>
      <c r="B482" t="s">
        <v>1645</v>
      </c>
      <c r="C482" t="s">
        <v>1646</v>
      </c>
    </row>
    <row r="483" spans="1:3" x14ac:dyDescent="0.25">
      <c r="A483" t="s">
        <v>750</v>
      </c>
      <c r="B483" t="s">
        <v>1647</v>
      </c>
      <c r="C483" t="s">
        <v>1648</v>
      </c>
    </row>
    <row r="484" spans="1:3" x14ac:dyDescent="0.25">
      <c r="A484" t="s">
        <v>750</v>
      </c>
      <c r="B484" t="s">
        <v>1649</v>
      </c>
      <c r="C484" t="s">
        <v>1650</v>
      </c>
    </row>
    <row r="485" spans="1:3" x14ac:dyDescent="0.25">
      <c r="A485" t="s">
        <v>750</v>
      </c>
      <c r="B485" t="s">
        <v>1651</v>
      </c>
      <c r="C485" t="s">
        <v>1652</v>
      </c>
    </row>
    <row r="486" spans="1:3" x14ac:dyDescent="0.25">
      <c r="A486" t="s">
        <v>750</v>
      </c>
      <c r="B486" t="s">
        <v>1653</v>
      </c>
      <c r="C486" t="s">
        <v>1654</v>
      </c>
    </row>
    <row r="487" spans="1:3" x14ac:dyDescent="0.25">
      <c r="A487" t="s">
        <v>750</v>
      </c>
      <c r="B487" t="s">
        <v>1655</v>
      </c>
      <c r="C487" t="s">
        <v>1656</v>
      </c>
    </row>
    <row r="488" spans="1:3" x14ac:dyDescent="0.25">
      <c r="A488" t="s">
        <v>750</v>
      </c>
      <c r="B488" t="s">
        <v>1657</v>
      </c>
      <c r="C488" t="s">
        <v>1658</v>
      </c>
    </row>
    <row r="489" spans="1:3" x14ac:dyDescent="0.25">
      <c r="A489" t="s">
        <v>750</v>
      </c>
      <c r="B489" t="s">
        <v>1659</v>
      </c>
      <c r="C489" t="s">
        <v>1660</v>
      </c>
    </row>
    <row r="490" spans="1:3" x14ac:dyDescent="0.25">
      <c r="A490" t="s">
        <v>750</v>
      </c>
      <c r="B490" t="s">
        <v>1661</v>
      </c>
      <c r="C490" t="s">
        <v>1662</v>
      </c>
    </row>
    <row r="491" spans="1:3" x14ac:dyDescent="0.25">
      <c r="A491" t="s">
        <v>750</v>
      </c>
      <c r="B491" t="s">
        <v>1663</v>
      </c>
      <c r="C491" t="s">
        <v>1664</v>
      </c>
    </row>
    <row r="492" spans="1:3" x14ac:dyDescent="0.25">
      <c r="A492" t="s">
        <v>750</v>
      </c>
      <c r="B492" t="s">
        <v>1665</v>
      </c>
      <c r="C492" t="s">
        <v>1666</v>
      </c>
    </row>
    <row r="493" spans="1:3" x14ac:dyDescent="0.25">
      <c r="A493" t="s">
        <v>750</v>
      </c>
      <c r="B493" t="s">
        <v>1667</v>
      </c>
      <c r="C493" t="s">
        <v>1668</v>
      </c>
    </row>
    <row r="494" spans="1:3" x14ac:dyDescent="0.25">
      <c r="A494" t="s">
        <v>750</v>
      </c>
      <c r="B494" t="s">
        <v>1669</v>
      </c>
      <c r="C494" t="s">
        <v>1670</v>
      </c>
    </row>
    <row r="495" spans="1:3" x14ac:dyDescent="0.25">
      <c r="A495" t="s">
        <v>750</v>
      </c>
      <c r="B495" t="s">
        <v>1671</v>
      </c>
      <c r="C495" t="s">
        <v>1672</v>
      </c>
    </row>
    <row r="496" spans="1:3" x14ac:dyDescent="0.25">
      <c r="A496" t="s">
        <v>750</v>
      </c>
      <c r="B496" t="s">
        <v>1673</v>
      </c>
      <c r="C496" t="s">
        <v>1674</v>
      </c>
    </row>
    <row r="497" spans="1:3" x14ac:dyDescent="0.25">
      <c r="A497" t="s">
        <v>750</v>
      </c>
      <c r="B497" t="s">
        <v>1675</v>
      </c>
      <c r="C497" t="s">
        <v>1676</v>
      </c>
    </row>
    <row r="498" spans="1:3" x14ac:dyDescent="0.25">
      <c r="A498" t="s">
        <v>750</v>
      </c>
      <c r="B498" t="s">
        <v>1677</v>
      </c>
      <c r="C498" t="s">
        <v>1678</v>
      </c>
    </row>
    <row r="499" spans="1:3" x14ac:dyDescent="0.25">
      <c r="A499" t="s">
        <v>750</v>
      </c>
      <c r="B499" t="s">
        <v>1679</v>
      </c>
      <c r="C499" t="s">
        <v>1680</v>
      </c>
    </row>
    <row r="500" spans="1:3" x14ac:dyDescent="0.25">
      <c r="A500" t="s">
        <v>750</v>
      </c>
      <c r="B500" t="s">
        <v>1681</v>
      </c>
      <c r="C500" t="s">
        <v>1682</v>
      </c>
    </row>
    <row r="501" spans="1:3" x14ac:dyDescent="0.25">
      <c r="A501" t="s">
        <v>750</v>
      </c>
      <c r="B501" t="s">
        <v>1683</v>
      </c>
      <c r="C501" t="s">
        <v>1684</v>
      </c>
    </row>
    <row r="502" spans="1:3" x14ac:dyDescent="0.25">
      <c r="A502" t="s">
        <v>750</v>
      </c>
      <c r="B502" t="s">
        <v>1685</v>
      </c>
      <c r="C502" t="s">
        <v>1686</v>
      </c>
    </row>
    <row r="503" spans="1:3" x14ac:dyDescent="0.25">
      <c r="A503" t="s">
        <v>750</v>
      </c>
      <c r="B503" t="s">
        <v>1687</v>
      </c>
      <c r="C503" t="s">
        <v>1688</v>
      </c>
    </row>
    <row r="504" spans="1:3" x14ac:dyDescent="0.25">
      <c r="A504" t="s">
        <v>750</v>
      </c>
      <c r="B504" t="s">
        <v>1689</v>
      </c>
      <c r="C504" t="s">
        <v>1690</v>
      </c>
    </row>
    <row r="505" spans="1:3" x14ac:dyDescent="0.25">
      <c r="A505" t="s">
        <v>750</v>
      </c>
      <c r="B505" t="s">
        <v>1691</v>
      </c>
      <c r="C505" t="s">
        <v>1692</v>
      </c>
    </row>
    <row r="506" spans="1:3" x14ac:dyDescent="0.25">
      <c r="A506" t="s">
        <v>750</v>
      </c>
      <c r="B506" t="s">
        <v>1693</v>
      </c>
      <c r="C506" t="s">
        <v>1694</v>
      </c>
    </row>
    <row r="507" spans="1:3" x14ac:dyDescent="0.25">
      <c r="A507" t="s">
        <v>750</v>
      </c>
      <c r="B507" t="s">
        <v>1695</v>
      </c>
      <c r="C507" t="s">
        <v>1696</v>
      </c>
    </row>
    <row r="508" spans="1:3" x14ac:dyDescent="0.25">
      <c r="A508" t="s">
        <v>750</v>
      </c>
      <c r="B508" t="s">
        <v>1697</v>
      </c>
      <c r="C508" t="s">
        <v>1698</v>
      </c>
    </row>
    <row r="509" spans="1:3" x14ac:dyDescent="0.25">
      <c r="A509" t="s">
        <v>750</v>
      </c>
      <c r="B509" t="s">
        <v>1699</v>
      </c>
      <c r="C509" t="s">
        <v>1700</v>
      </c>
    </row>
    <row r="510" spans="1:3" x14ac:dyDescent="0.25">
      <c r="A510" t="s">
        <v>750</v>
      </c>
      <c r="B510" t="s">
        <v>1701</v>
      </c>
      <c r="C510" t="s">
        <v>1702</v>
      </c>
    </row>
    <row r="511" spans="1:3" x14ac:dyDescent="0.25">
      <c r="A511" t="s">
        <v>750</v>
      </c>
      <c r="B511" t="s">
        <v>1703</v>
      </c>
      <c r="C511" t="s">
        <v>1704</v>
      </c>
    </row>
    <row r="512" spans="1:3" x14ac:dyDescent="0.25">
      <c r="A512" t="s">
        <v>750</v>
      </c>
      <c r="B512" t="s">
        <v>1705</v>
      </c>
      <c r="C512" t="s">
        <v>1706</v>
      </c>
    </row>
    <row r="513" spans="1:3" x14ac:dyDescent="0.25">
      <c r="A513" t="s">
        <v>750</v>
      </c>
      <c r="B513" t="s">
        <v>1707</v>
      </c>
      <c r="C513" t="s">
        <v>1708</v>
      </c>
    </row>
    <row r="514" spans="1:3" x14ac:dyDescent="0.25">
      <c r="A514" t="s">
        <v>750</v>
      </c>
      <c r="B514" t="s">
        <v>1709</v>
      </c>
      <c r="C514" t="s">
        <v>1710</v>
      </c>
    </row>
    <row r="515" spans="1:3" x14ac:dyDescent="0.25">
      <c r="A515" t="s">
        <v>750</v>
      </c>
      <c r="B515" t="s">
        <v>1711</v>
      </c>
      <c r="C515" t="s">
        <v>1712</v>
      </c>
    </row>
    <row r="516" spans="1:3" x14ac:dyDescent="0.25">
      <c r="A516" t="s">
        <v>750</v>
      </c>
      <c r="B516" t="s">
        <v>1713</v>
      </c>
      <c r="C516" t="s">
        <v>1714</v>
      </c>
    </row>
    <row r="517" spans="1:3" x14ac:dyDescent="0.25">
      <c r="A517" t="s">
        <v>750</v>
      </c>
      <c r="B517" t="s">
        <v>1715</v>
      </c>
      <c r="C517" t="s">
        <v>1716</v>
      </c>
    </row>
    <row r="518" spans="1:3" x14ac:dyDescent="0.25">
      <c r="A518" t="s">
        <v>750</v>
      </c>
      <c r="B518" t="s">
        <v>1717</v>
      </c>
      <c r="C518" t="s">
        <v>1718</v>
      </c>
    </row>
    <row r="519" spans="1:3" x14ac:dyDescent="0.25">
      <c r="A519" t="s">
        <v>750</v>
      </c>
      <c r="B519" t="s">
        <v>1719</v>
      </c>
      <c r="C519" t="s">
        <v>1720</v>
      </c>
    </row>
    <row r="520" spans="1:3" x14ac:dyDescent="0.25">
      <c r="A520" t="s">
        <v>750</v>
      </c>
      <c r="B520" t="s">
        <v>1721</v>
      </c>
      <c r="C520" t="s">
        <v>1722</v>
      </c>
    </row>
    <row r="521" spans="1:3" x14ac:dyDescent="0.25">
      <c r="A521" t="s">
        <v>750</v>
      </c>
      <c r="B521" t="s">
        <v>1723</v>
      </c>
      <c r="C521" t="s">
        <v>1724</v>
      </c>
    </row>
    <row r="522" spans="1:3" x14ac:dyDescent="0.25">
      <c r="A522" t="s">
        <v>750</v>
      </c>
      <c r="B522" t="s">
        <v>1725</v>
      </c>
      <c r="C522" t="s">
        <v>1726</v>
      </c>
    </row>
    <row r="523" spans="1:3" x14ac:dyDescent="0.25">
      <c r="A523" t="s">
        <v>750</v>
      </c>
      <c r="B523" t="s">
        <v>1727</v>
      </c>
      <c r="C523" t="s">
        <v>1728</v>
      </c>
    </row>
    <row r="524" spans="1:3" x14ac:dyDescent="0.25">
      <c r="A524" t="s">
        <v>750</v>
      </c>
      <c r="B524" t="s">
        <v>1729</v>
      </c>
      <c r="C524" t="s">
        <v>1730</v>
      </c>
    </row>
    <row r="525" spans="1:3" x14ac:dyDescent="0.25">
      <c r="A525" t="s">
        <v>750</v>
      </c>
      <c r="B525" t="s">
        <v>1731</v>
      </c>
      <c r="C525" t="s">
        <v>1732</v>
      </c>
    </row>
    <row r="526" spans="1:3" x14ac:dyDescent="0.25">
      <c r="A526" t="s">
        <v>750</v>
      </c>
      <c r="B526" t="s">
        <v>1733</v>
      </c>
      <c r="C526" t="s">
        <v>1734</v>
      </c>
    </row>
    <row r="527" spans="1:3" x14ac:dyDescent="0.25">
      <c r="A527" t="s">
        <v>750</v>
      </c>
      <c r="B527" t="s">
        <v>1735</v>
      </c>
      <c r="C527" t="s">
        <v>1736</v>
      </c>
    </row>
    <row r="528" spans="1:3" x14ac:dyDescent="0.25">
      <c r="A528" t="s">
        <v>750</v>
      </c>
      <c r="B528" t="s">
        <v>1737</v>
      </c>
      <c r="C528" t="s">
        <v>1738</v>
      </c>
    </row>
    <row r="529" spans="1:3" x14ac:dyDescent="0.25">
      <c r="A529" t="s">
        <v>750</v>
      </c>
      <c r="B529" t="s">
        <v>1739</v>
      </c>
      <c r="C529" t="s">
        <v>1740</v>
      </c>
    </row>
    <row r="530" spans="1:3" x14ac:dyDescent="0.25">
      <c r="A530" t="s">
        <v>750</v>
      </c>
      <c r="B530" t="s">
        <v>1741</v>
      </c>
      <c r="C530" t="s">
        <v>1742</v>
      </c>
    </row>
    <row r="531" spans="1:3" x14ac:dyDescent="0.25">
      <c r="A531" t="s">
        <v>750</v>
      </c>
      <c r="B531" t="s">
        <v>1743</v>
      </c>
      <c r="C531" t="s">
        <v>1744</v>
      </c>
    </row>
    <row r="532" spans="1:3" x14ac:dyDescent="0.25">
      <c r="A532" t="s">
        <v>750</v>
      </c>
      <c r="B532" t="s">
        <v>1745</v>
      </c>
      <c r="C532" t="s">
        <v>1746</v>
      </c>
    </row>
    <row r="533" spans="1:3" x14ac:dyDescent="0.25">
      <c r="A533" t="s">
        <v>750</v>
      </c>
      <c r="B533" t="s">
        <v>1747</v>
      </c>
      <c r="C533" t="s">
        <v>1748</v>
      </c>
    </row>
    <row r="534" spans="1:3" x14ac:dyDescent="0.25">
      <c r="A534" t="s">
        <v>750</v>
      </c>
      <c r="B534" t="s">
        <v>1749</v>
      </c>
      <c r="C534" t="s">
        <v>1750</v>
      </c>
    </row>
    <row r="535" spans="1:3" x14ac:dyDescent="0.25">
      <c r="A535" t="s">
        <v>750</v>
      </c>
      <c r="B535" t="s">
        <v>1751</v>
      </c>
      <c r="C535" t="s">
        <v>1752</v>
      </c>
    </row>
    <row r="536" spans="1:3" x14ac:dyDescent="0.25">
      <c r="A536" t="s">
        <v>750</v>
      </c>
      <c r="B536" t="s">
        <v>1753</v>
      </c>
      <c r="C536" t="s">
        <v>1754</v>
      </c>
    </row>
    <row r="537" spans="1:3" x14ac:dyDescent="0.25">
      <c r="A537" t="s">
        <v>750</v>
      </c>
      <c r="B537" t="s">
        <v>1755</v>
      </c>
      <c r="C537" t="s">
        <v>1756</v>
      </c>
    </row>
    <row r="538" spans="1:3" x14ac:dyDescent="0.25">
      <c r="A538" t="s">
        <v>750</v>
      </c>
      <c r="B538" t="s">
        <v>1757</v>
      </c>
      <c r="C538" t="s">
        <v>1758</v>
      </c>
    </row>
    <row r="539" spans="1:3" x14ac:dyDescent="0.25">
      <c r="A539" t="s">
        <v>750</v>
      </c>
      <c r="B539" t="s">
        <v>1759</v>
      </c>
      <c r="C539" t="s">
        <v>1760</v>
      </c>
    </row>
    <row r="540" spans="1:3" x14ac:dyDescent="0.25">
      <c r="A540" t="s">
        <v>750</v>
      </c>
      <c r="B540" t="s">
        <v>1761</v>
      </c>
      <c r="C540" t="s">
        <v>1762</v>
      </c>
    </row>
    <row r="541" spans="1:3" x14ac:dyDescent="0.25">
      <c r="A541" t="s">
        <v>750</v>
      </c>
      <c r="B541" t="s">
        <v>1763</v>
      </c>
      <c r="C541" t="s">
        <v>1764</v>
      </c>
    </row>
    <row r="542" spans="1:3" x14ac:dyDescent="0.25">
      <c r="A542" t="s">
        <v>750</v>
      </c>
      <c r="B542" t="s">
        <v>1765</v>
      </c>
      <c r="C542" t="s">
        <v>1766</v>
      </c>
    </row>
    <row r="543" spans="1:3" x14ac:dyDescent="0.25">
      <c r="A543" t="s">
        <v>750</v>
      </c>
      <c r="B543" t="s">
        <v>1767</v>
      </c>
      <c r="C543" t="s">
        <v>1768</v>
      </c>
    </row>
    <row r="544" spans="1:3" x14ac:dyDescent="0.25">
      <c r="A544" t="s">
        <v>750</v>
      </c>
      <c r="B544" t="s">
        <v>1769</v>
      </c>
      <c r="C544" t="s">
        <v>1770</v>
      </c>
    </row>
    <row r="545" spans="1:3" x14ac:dyDescent="0.25">
      <c r="A545" t="s">
        <v>750</v>
      </c>
      <c r="B545" t="s">
        <v>1771</v>
      </c>
      <c r="C545" t="s">
        <v>1772</v>
      </c>
    </row>
    <row r="546" spans="1:3" x14ac:dyDescent="0.25">
      <c r="A546" t="s">
        <v>750</v>
      </c>
      <c r="B546" t="s">
        <v>1773</v>
      </c>
      <c r="C546" t="s">
        <v>1774</v>
      </c>
    </row>
    <row r="547" spans="1:3" x14ac:dyDescent="0.25">
      <c r="A547" t="s">
        <v>750</v>
      </c>
      <c r="B547" t="s">
        <v>1775</v>
      </c>
      <c r="C547" t="s">
        <v>1776</v>
      </c>
    </row>
    <row r="548" spans="1:3" x14ac:dyDescent="0.25">
      <c r="A548" t="s">
        <v>750</v>
      </c>
      <c r="B548" t="s">
        <v>1777</v>
      </c>
      <c r="C548" t="s">
        <v>1778</v>
      </c>
    </row>
    <row r="549" spans="1:3" x14ac:dyDescent="0.25">
      <c r="A549" t="s">
        <v>750</v>
      </c>
      <c r="B549" t="s">
        <v>1779</v>
      </c>
      <c r="C549" t="s">
        <v>1780</v>
      </c>
    </row>
    <row r="550" spans="1:3" x14ac:dyDescent="0.25">
      <c r="A550" t="s">
        <v>750</v>
      </c>
      <c r="B550" t="s">
        <v>1781</v>
      </c>
      <c r="C550" t="s">
        <v>1782</v>
      </c>
    </row>
    <row r="551" spans="1:3" x14ac:dyDescent="0.25">
      <c r="A551" t="s">
        <v>750</v>
      </c>
      <c r="B551" t="s">
        <v>1783</v>
      </c>
      <c r="C551" t="s">
        <v>1784</v>
      </c>
    </row>
    <row r="552" spans="1:3" x14ac:dyDescent="0.25">
      <c r="A552" t="s">
        <v>750</v>
      </c>
      <c r="B552" t="s">
        <v>1785</v>
      </c>
      <c r="C552" t="s">
        <v>1786</v>
      </c>
    </row>
    <row r="554" spans="1:3" x14ac:dyDescent="0.25">
      <c r="A554" t="s">
        <v>1787</v>
      </c>
      <c r="B554" t="s">
        <v>1788</v>
      </c>
      <c r="C554" t="s">
        <v>2424</v>
      </c>
    </row>
    <row r="555" spans="1:3" x14ac:dyDescent="0.25">
      <c r="A555" t="s">
        <v>1787</v>
      </c>
      <c r="B555" t="s">
        <v>1789</v>
      </c>
      <c r="C555" t="s">
        <v>2425</v>
      </c>
    </row>
    <row r="556" spans="1:3" x14ac:dyDescent="0.25">
      <c r="A556" t="s">
        <v>1787</v>
      </c>
      <c r="B556" t="s">
        <v>1790</v>
      </c>
      <c r="C556" t="s">
        <v>2426</v>
      </c>
    </row>
    <row r="557" spans="1:3" x14ac:dyDescent="0.25">
      <c r="A557" t="s">
        <v>1787</v>
      </c>
      <c r="B557" t="s">
        <v>1791</v>
      </c>
      <c r="C557" t="s">
        <v>2427</v>
      </c>
    </row>
    <row r="558" spans="1:3" x14ac:dyDescent="0.25">
      <c r="A558" t="s">
        <v>1787</v>
      </c>
      <c r="B558" t="s">
        <v>1792</v>
      </c>
      <c r="C558" t="s">
        <v>2428</v>
      </c>
    </row>
    <row r="559" spans="1:3" x14ac:dyDescent="0.25">
      <c r="A559" t="s">
        <v>1787</v>
      </c>
      <c r="B559" t="s">
        <v>1793</v>
      </c>
      <c r="C559" t="s">
        <v>2429</v>
      </c>
    </row>
    <row r="560" spans="1:3" x14ac:dyDescent="0.25">
      <c r="A560" t="s">
        <v>1787</v>
      </c>
      <c r="B560" t="s">
        <v>1407</v>
      </c>
      <c r="C560" t="s">
        <v>2430</v>
      </c>
    </row>
    <row r="561" spans="1:3" x14ac:dyDescent="0.25">
      <c r="A561" t="s">
        <v>1787</v>
      </c>
      <c r="B561" t="s">
        <v>1794</v>
      </c>
      <c r="C561" t="s">
        <v>2431</v>
      </c>
    </row>
    <row r="562" spans="1:3" x14ac:dyDescent="0.25">
      <c r="A562" t="s">
        <v>1787</v>
      </c>
      <c r="B562" t="s">
        <v>1795</v>
      </c>
      <c r="C562" t="s">
        <v>2432</v>
      </c>
    </row>
    <row r="563" spans="1:3" x14ac:dyDescent="0.25">
      <c r="A563" t="s">
        <v>1787</v>
      </c>
      <c r="B563" t="s">
        <v>1796</v>
      </c>
      <c r="C563" t="s">
        <v>1797</v>
      </c>
    </row>
    <row r="564" spans="1:3" x14ac:dyDescent="0.25">
      <c r="A564" t="s">
        <v>1787</v>
      </c>
      <c r="B564" t="s">
        <v>1798</v>
      </c>
      <c r="C564" t="s">
        <v>1799</v>
      </c>
    </row>
    <row r="565" spans="1:3" x14ac:dyDescent="0.25">
      <c r="A565" t="s">
        <v>1787</v>
      </c>
      <c r="B565" t="s">
        <v>1800</v>
      </c>
      <c r="C565" t="s">
        <v>1801</v>
      </c>
    </row>
    <row r="566" spans="1:3" x14ac:dyDescent="0.25">
      <c r="A566" t="s">
        <v>1787</v>
      </c>
      <c r="B566" t="s">
        <v>1802</v>
      </c>
      <c r="C566" t="s">
        <v>1803</v>
      </c>
    </row>
    <row r="567" spans="1:3" x14ac:dyDescent="0.25">
      <c r="A567" t="s">
        <v>1787</v>
      </c>
      <c r="B567" t="s">
        <v>1804</v>
      </c>
      <c r="C567" t="s">
        <v>1805</v>
      </c>
    </row>
    <row r="568" spans="1:3" x14ac:dyDescent="0.25">
      <c r="A568" t="s">
        <v>1787</v>
      </c>
      <c r="B568" t="s">
        <v>1806</v>
      </c>
      <c r="C568" t="s">
        <v>2771</v>
      </c>
    </row>
    <row r="569" spans="1:3" x14ac:dyDescent="0.25">
      <c r="A569" t="s">
        <v>1787</v>
      </c>
      <c r="B569" t="s">
        <v>1807</v>
      </c>
      <c r="C569" t="s">
        <v>2772</v>
      </c>
    </row>
    <row r="570" spans="1:3" x14ac:dyDescent="0.25">
      <c r="A570" t="s">
        <v>1787</v>
      </c>
      <c r="B570" t="s">
        <v>1808</v>
      </c>
      <c r="C570" t="s">
        <v>2773</v>
      </c>
    </row>
    <row r="571" spans="1:3" x14ac:dyDescent="0.25">
      <c r="A571" t="s">
        <v>1787</v>
      </c>
      <c r="B571" t="s">
        <v>1809</v>
      </c>
      <c r="C571" t="s">
        <v>2774</v>
      </c>
    </row>
    <row r="572" spans="1:3" x14ac:dyDescent="0.25">
      <c r="A572" t="s">
        <v>1787</v>
      </c>
      <c r="B572" t="s">
        <v>1810</v>
      </c>
      <c r="C572" t="s">
        <v>2775</v>
      </c>
    </row>
    <row r="575" spans="1:3" x14ac:dyDescent="0.25">
      <c r="A575" t="s">
        <v>1811</v>
      </c>
      <c r="B575" t="s">
        <v>1812</v>
      </c>
      <c r="C575" t="s">
        <v>1813</v>
      </c>
    </row>
    <row r="576" spans="1:3" x14ac:dyDescent="0.25">
      <c r="A576" t="s">
        <v>1811</v>
      </c>
      <c r="B576" t="s">
        <v>1814</v>
      </c>
      <c r="C576" t="s">
        <v>1815</v>
      </c>
    </row>
    <row r="577" spans="1:3" x14ac:dyDescent="0.25">
      <c r="A577" t="s">
        <v>1811</v>
      </c>
      <c r="B577" t="s">
        <v>1816</v>
      </c>
      <c r="C577" t="s">
        <v>1817</v>
      </c>
    </row>
    <row r="578" spans="1:3" x14ac:dyDescent="0.25">
      <c r="A578" t="s">
        <v>1811</v>
      </c>
      <c r="B578" t="s">
        <v>1818</v>
      </c>
      <c r="C578" t="s">
        <v>1819</v>
      </c>
    </row>
    <row r="579" spans="1:3" x14ac:dyDescent="0.25">
      <c r="A579" t="s">
        <v>1811</v>
      </c>
      <c r="B579" t="s">
        <v>1820</v>
      </c>
      <c r="C579" t="s">
        <v>1821</v>
      </c>
    </row>
    <row r="580" spans="1:3" x14ac:dyDescent="0.25">
      <c r="A580" t="s">
        <v>1811</v>
      </c>
      <c r="B580" t="s">
        <v>1822</v>
      </c>
      <c r="C580" t="s">
        <v>1823</v>
      </c>
    </row>
    <row r="581" spans="1:3" x14ac:dyDescent="0.25">
      <c r="A581" t="s">
        <v>1811</v>
      </c>
      <c r="B581" t="s">
        <v>1824</v>
      </c>
      <c r="C581" t="s">
        <v>1825</v>
      </c>
    </row>
    <row r="582" spans="1:3" x14ac:dyDescent="0.25">
      <c r="A582" t="s">
        <v>1811</v>
      </c>
      <c r="B582" t="s">
        <v>1826</v>
      </c>
      <c r="C582" t="s">
        <v>1827</v>
      </c>
    </row>
    <row r="583" spans="1:3" x14ac:dyDescent="0.25">
      <c r="A583" t="s">
        <v>1811</v>
      </c>
      <c r="B583" t="s">
        <v>1828</v>
      </c>
      <c r="C583" t="s">
        <v>1829</v>
      </c>
    </row>
    <row r="584" spans="1:3" x14ac:dyDescent="0.25">
      <c r="A584" t="s">
        <v>1811</v>
      </c>
      <c r="B584" t="s">
        <v>1830</v>
      </c>
      <c r="C584" t="s">
        <v>1831</v>
      </c>
    </row>
    <row r="585" spans="1:3" x14ac:dyDescent="0.25">
      <c r="A585" t="s">
        <v>1811</v>
      </c>
      <c r="B585" t="s">
        <v>1832</v>
      </c>
      <c r="C585" t="s">
        <v>1833</v>
      </c>
    </row>
    <row r="586" spans="1:3" x14ac:dyDescent="0.25">
      <c r="A586" t="s">
        <v>1811</v>
      </c>
      <c r="B586" t="s">
        <v>1834</v>
      </c>
      <c r="C586" t="s">
        <v>1835</v>
      </c>
    </row>
    <row r="587" spans="1:3" x14ac:dyDescent="0.25">
      <c r="A587" t="s">
        <v>1811</v>
      </c>
      <c r="B587" t="s">
        <v>1836</v>
      </c>
      <c r="C587" t="s">
        <v>1837</v>
      </c>
    </row>
    <row r="588" spans="1:3" x14ac:dyDescent="0.25">
      <c r="A588" t="s">
        <v>1811</v>
      </c>
      <c r="B588" t="s">
        <v>1838</v>
      </c>
      <c r="C588" t="s">
        <v>1839</v>
      </c>
    </row>
    <row r="589" spans="1:3" x14ac:dyDescent="0.25">
      <c r="A589" t="s">
        <v>1811</v>
      </c>
      <c r="B589" t="s">
        <v>1840</v>
      </c>
      <c r="C589" t="s">
        <v>1841</v>
      </c>
    </row>
    <row r="590" spans="1:3" x14ac:dyDescent="0.25">
      <c r="A590" t="s">
        <v>1811</v>
      </c>
      <c r="B590" t="s">
        <v>1842</v>
      </c>
      <c r="C590" t="s">
        <v>1843</v>
      </c>
    </row>
    <row r="591" spans="1:3" x14ac:dyDescent="0.25">
      <c r="A591" t="s">
        <v>1811</v>
      </c>
      <c r="B591" t="s">
        <v>1844</v>
      </c>
      <c r="C591" t="s">
        <v>1845</v>
      </c>
    </row>
    <row r="592" spans="1:3" x14ac:dyDescent="0.25">
      <c r="A592" t="s">
        <v>1811</v>
      </c>
      <c r="B592" t="s">
        <v>1846</v>
      </c>
      <c r="C592" t="s">
        <v>1847</v>
      </c>
    </row>
    <row r="593" spans="1:3" x14ac:dyDescent="0.25">
      <c r="A593" t="s">
        <v>1811</v>
      </c>
      <c r="B593" t="s">
        <v>1848</v>
      </c>
      <c r="C593" t="s">
        <v>1849</v>
      </c>
    </row>
    <row r="594" spans="1:3" x14ac:dyDescent="0.25">
      <c r="A594" t="s">
        <v>1811</v>
      </c>
      <c r="B594" t="s">
        <v>1850</v>
      </c>
      <c r="C594" t="s">
        <v>1851</v>
      </c>
    </row>
    <row r="595" spans="1:3" x14ac:dyDescent="0.25">
      <c r="A595" t="s">
        <v>1811</v>
      </c>
      <c r="B595" t="s">
        <v>1852</v>
      </c>
      <c r="C595" t="s">
        <v>1853</v>
      </c>
    </row>
    <row r="596" spans="1:3" x14ac:dyDescent="0.25">
      <c r="A596" t="s">
        <v>1811</v>
      </c>
      <c r="B596" t="s">
        <v>1854</v>
      </c>
      <c r="C596" t="s">
        <v>1855</v>
      </c>
    </row>
    <row r="597" spans="1:3" x14ac:dyDescent="0.25">
      <c r="A597" t="s">
        <v>1811</v>
      </c>
      <c r="B597" t="s">
        <v>1856</v>
      </c>
      <c r="C597" t="s">
        <v>1857</v>
      </c>
    </row>
    <row r="598" spans="1:3" x14ac:dyDescent="0.25">
      <c r="A598" t="s">
        <v>1811</v>
      </c>
      <c r="B598" t="s">
        <v>1858</v>
      </c>
      <c r="C598" t="s">
        <v>1859</v>
      </c>
    </row>
    <row r="599" spans="1:3" x14ac:dyDescent="0.25">
      <c r="A599" t="s">
        <v>1811</v>
      </c>
      <c r="B599" t="s">
        <v>1860</v>
      </c>
      <c r="C599" t="s">
        <v>1861</v>
      </c>
    </row>
    <row r="600" spans="1:3" x14ac:dyDescent="0.25">
      <c r="A600" t="s">
        <v>1811</v>
      </c>
      <c r="B600" t="s">
        <v>1862</v>
      </c>
      <c r="C600" t="s">
        <v>1863</v>
      </c>
    </row>
    <row r="601" spans="1:3" x14ac:dyDescent="0.25">
      <c r="A601" t="s">
        <v>1811</v>
      </c>
      <c r="B601" t="s">
        <v>1864</v>
      </c>
      <c r="C601" t="s">
        <v>1865</v>
      </c>
    </row>
    <row r="602" spans="1:3" x14ac:dyDescent="0.25">
      <c r="A602" t="s">
        <v>1811</v>
      </c>
      <c r="B602" t="s">
        <v>1866</v>
      </c>
      <c r="C602" t="s">
        <v>1867</v>
      </c>
    </row>
    <row r="603" spans="1:3" x14ac:dyDescent="0.25">
      <c r="A603" t="s">
        <v>1811</v>
      </c>
      <c r="B603" t="s">
        <v>1868</v>
      </c>
      <c r="C603" t="s">
        <v>1869</v>
      </c>
    </row>
    <row r="604" spans="1:3" x14ac:dyDescent="0.25">
      <c r="A604" t="s">
        <v>1811</v>
      </c>
      <c r="B604" t="s">
        <v>1870</v>
      </c>
      <c r="C604" t="s">
        <v>1871</v>
      </c>
    </row>
    <row r="605" spans="1:3" x14ac:dyDescent="0.25">
      <c r="A605" t="s">
        <v>1811</v>
      </c>
      <c r="B605" t="s">
        <v>1872</v>
      </c>
      <c r="C605" t="s">
        <v>1873</v>
      </c>
    </row>
    <row r="606" spans="1:3" x14ac:dyDescent="0.25">
      <c r="A606" t="s">
        <v>1811</v>
      </c>
      <c r="B606" t="s">
        <v>1874</v>
      </c>
      <c r="C606" t="s">
        <v>1875</v>
      </c>
    </row>
    <row r="607" spans="1:3" x14ac:dyDescent="0.25">
      <c r="A607" t="s">
        <v>1811</v>
      </c>
      <c r="B607" t="s">
        <v>1876</v>
      </c>
      <c r="C607" t="s">
        <v>1877</v>
      </c>
    </row>
    <row r="608" spans="1:3" x14ac:dyDescent="0.25">
      <c r="A608" t="s">
        <v>1811</v>
      </c>
      <c r="B608" t="s">
        <v>1878</v>
      </c>
      <c r="C608" t="s">
        <v>1879</v>
      </c>
    </row>
    <row r="609" spans="1:3" x14ac:dyDescent="0.25">
      <c r="A609" t="s">
        <v>1811</v>
      </c>
      <c r="B609" t="s">
        <v>1880</v>
      </c>
      <c r="C609" t="s">
        <v>1881</v>
      </c>
    </row>
    <row r="610" spans="1:3" x14ac:dyDescent="0.25">
      <c r="A610" t="s">
        <v>1811</v>
      </c>
      <c r="B610" t="s">
        <v>1882</v>
      </c>
      <c r="C610" t="s">
        <v>1883</v>
      </c>
    </row>
    <row r="611" spans="1:3" x14ac:dyDescent="0.25">
      <c r="A611" t="s">
        <v>1811</v>
      </c>
      <c r="B611" t="s">
        <v>1884</v>
      </c>
      <c r="C611" t="s">
        <v>1885</v>
      </c>
    </row>
    <row r="612" spans="1:3" x14ac:dyDescent="0.25">
      <c r="A612" t="s">
        <v>1811</v>
      </c>
      <c r="B612" t="s">
        <v>1886</v>
      </c>
      <c r="C612" t="s">
        <v>1887</v>
      </c>
    </row>
    <row r="613" spans="1:3" x14ac:dyDescent="0.25">
      <c r="A613" t="s">
        <v>1811</v>
      </c>
      <c r="B613" t="s">
        <v>1888</v>
      </c>
      <c r="C613" t="s">
        <v>1889</v>
      </c>
    </row>
    <row r="614" spans="1:3" x14ac:dyDescent="0.25">
      <c r="A614" t="s">
        <v>1811</v>
      </c>
      <c r="B614" t="s">
        <v>1890</v>
      </c>
      <c r="C614" t="s">
        <v>1891</v>
      </c>
    </row>
    <row r="615" spans="1:3" x14ac:dyDescent="0.25">
      <c r="A615" t="s">
        <v>1811</v>
      </c>
      <c r="B615" t="s">
        <v>1892</v>
      </c>
      <c r="C615" t="s">
        <v>1881</v>
      </c>
    </row>
    <row r="616" spans="1:3" x14ac:dyDescent="0.25">
      <c r="A616" t="s">
        <v>1811</v>
      </c>
      <c r="B616" t="s">
        <v>1893</v>
      </c>
      <c r="C616" t="s">
        <v>1894</v>
      </c>
    </row>
    <row r="617" spans="1:3" x14ac:dyDescent="0.25">
      <c r="A617" t="s">
        <v>1811</v>
      </c>
      <c r="B617" t="s">
        <v>1895</v>
      </c>
      <c r="C617" t="s">
        <v>1896</v>
      </c>
    </row>
    <row r="618" spans="1:3" x14ac:dyDescent="0.25">
      <c r="A618" t="s">
        <v>1811</v>
      </c>
      <c r="B618" t="s">
        <v>1897</v>
      </c>
      <c r="C618" t="s">
        <v>1898</v>
      </c>
    </row>
    <row r="619" spans="1:3" x14ac:dyDescent="0.25">
      <c r="A619" t="s">
        <v>1811</v>
      </c>
      <c r="B619" t="s">
        <v>1899</v>
      </c>
      <c r="C619" t="s">
        <v>1900</v>
      </c>
    </row>
    <row r="620" spans="1:3" x14ac:dyDescent="0.25">
      <c r="A620" t="s">
        <v>1811</v>
      </c>
      <c r="B620" t="s">
        <v>1901</v>
      </c>
      <c r="C620" t="s">
        <v>1902</v>
      </c>
    </row>
    <row r="621" spans="1:3" x14ac:dyDescent="0.25">
      <c r="A621" t="s">
        <v>1811</v>
      </c>
      <c r="B621" t="s">
        <v>1903</v>
      </c>
      <c r="C621" t="s">
        <v>1904</v>
      </c>
    </row>
    <row r="622" spans="1:3" x14ac:dyDescent="0.25">
      <c r="A622" t="s">
        <v>1811</v>
      </c>
      <c r="B622" t="s">
        <v>1905</v>
      </c>
      <c r="C622" t="s">
        <v>1906</v>
      </c>
    </row>
    <row r="623" spans="1:3" x14ac:dyDescent="0.25">
      <c r="A623" t="s">
        <v>1811</v>
      </c>
      <c r="B623" t="s">
        <v>1907</v>
      </c>
      <c r="C623" t="s">
        <v>1908</v>
      </c>
    </row>
    <row r="624" spans="1:3" x14ac:dyDescent="0.25">
      <c r="A624" t="s">
        <v>1811</v>
      </c>
      <c r="B624" t="s">
        <v>1909</v>
      </c>
      <c r="C624" t="s">
        <v>1910</v>
      </c>
    </row>
    <row r="625" spans="1:3" x14ac:dyDescent="0.25">
      <c r="A625" t="s">
        <v>1811</v>
      </c>
      <c r="B625" t="s">
        <v>1911</v>
      </c>
      <c r="C625" t="s">
        <v>1912</v>
      </c>
    </row>
    <row r="626" spans="1:3" x14ac:dyDescent="0.25">
      <c r="A626" t="s">
        <v>1811</v>
      </c>
      <c r="B626" t="s">
        <v>1913</v>
      </c>
      <c r="C626" t="s">
        <v>1914</v>
      </c>
    </row>
    <row r="627" spans="1:3" x14ac:dyDescent="0.25">
      <c r="A627" t="s">
        <v>1811</v>
      </c>
      <c r="B627" t="s">
        <v>1915</v>
      </c>
      <c r="C627" t="s">
        <v>1916</v>
      </c>
    </row>
    <row r="628" spans="1:3" x14ac:dyDescent="0.25">
      <c r="A628" t="s">
        <v>1811</v>
      </c>
      <c r="B628" t="s">
        <v>1917</v>
      </c>
      <c r="C628" t="s">
        <v>1918</v>
      </c>
    </row>
    <row r="629" spans="1:3" x14ac:dyDescent="0.25">
      <c r="A629" t="s">
        <v>1811</v>
      </c>
      <c r="B629" t="s">
        <v>1919</v>
      </c>
      <c r="C629" t="s">
        <v>1920</v>
      </c>
    </row>
    <row r="630" spans="1:3" x14ac:dyDescent="0.25">
      <c r="A630" t="s">
        <v>1811</v>
      </c>
      <c r="B630" t="s">
        <v>1921</v>
      </c>
      <c r="C630" t="s">
        <v>1922</v>
      </c>
    </row>
    <row r="631" spans="1:3" x14ac:dyDescent="0.25">
      <c r="A631" t="s">
        <v>1811</v>
      </c>
      <c r="B631" t="s">
        <v>1923</v>
      </c>
      <c r="C631" t="s">
        <v>1924</v>
      </c>
    </row>
    <row r="632" spans="1:3" x14ac:dyDescent="0.25">
      <c r="A632" t="s">
        <v>1811</v>
      </c>
      <c r="B632" t="s">
        <v>1925</v>
      </c>
      <c r="C632" t="s">
        <v>1926</v>
      </c>
    </row>
    <row r="633" spans="1:3" x14ac:dyDescent="0.25">
      <c r="A633" t="s">
        <v>1811</v>
      </c>
      <c r="B633" t="s">
        <v>1927</v>
      </c>
      <c r="C633" t="s">
        <v>1928</v>
      </c>
    </row>
    <row r="634" spans="1:3" x14ac:dyDescent="0.25">
      <c r="A634" t="s">
        <v>1811</v>
      </c>
      <c r="B634" t="s">
        <v>1929</v>
      </c>
      <c r="C634" t="s">
        <v>1930</v>
      </c>
    </row>
    <row r="635" spans="1:3" x14ac:dyDescent="0.25">
      <c r="A635" t="s">
        <v>1811</v>
      </c>
      <c r="B635" t="s">
        <v>1931</v>
      </c>
      <c r="C635" t="s">
        <v>1932</v>
      </c>
    </row>
    <row r="636" spans="1:3" x14ac:dyDescent="0.25">
      <c r="A636" t="s">
        <v>1811</v>
      </c>
      <c r="B636" t="s">
        <v>1933</v>
      </c>
      <c r="C636" t="s">
        <v>1934</v>
      </c>
    </row>
    <row r="637" spans="1:3" x14ac:dyDescent="0.25">
      <c r="A637" t="s">
        <v>1811</v>
      </c>
      <c r="B637" t="s">
        <v>1935</v>
      </c>
      <c r="C637" t="s">
        <v>1936</v>
      </c>
    </row>
    <row r="638" spans="1:3" x14ac:dyDescent="0.25">
      <c r="A638" t="s">
        <v>1811</v>
      </c>
      <c r="B638" t="s">
        <v>1937</v>
      </c>
      <c r="C638" t="s">
        <v>1938</v>
      </c>
    </row>
    <row r="639" spans="1:3" x14ac:dyDescent="0.25">
      <c r="A639" t="s">
        <v>1811</v>
      </c>
      <c r="B639" t="s">
        <v>1939</v>
      </c>
      <c r="C639" t="s">
        <v>1940</v>
      </c>
    </row>
    <row r="640" spans="1:3" x14ac:dyDescent="0.25">
      <c r="A640" t="s">
        <v>1811</v>
      </c>
      <c r="B640" t="s">
        <v>1941</v>
      </c>
      <c r="C640" t="s">
        <v>1942</v>
      </c>
    </row>
    <row r="641" spans="1:3" x14ac:dyDescent="0.25">
      <c r="A641" t="s">
        <v>1811</v>
      </c>
      <c r="B641" t="s">
        <v>1943</v>
      </c>
      <c r="C641" t="s">
        <v>1944</v>
      </c>
    </row>
    <row r="642" spans="1:3" x14ac:dyDescent="0.25">
      <c r="A642" t="s">
        <v>1811</v>
      </c>
      <c r="B642" t="s">
        <v>1945</v>
      </c>
      <c r="C642" t="s">
        <v>1946</v>
      </c>
    </row>
    <row r="643" spans="1:3" x14ac:dyDescent="0.25">
      <c r="A643" t="s">
        <v>1811</v>
      </c>
      <c r="B643" t="s">
        <v>1947</v>
      </c>
      <c r="C643" t="s">
        <v>1948</v>
      </c>
    </row>
    <row r="644" spans="1:3" x14ac:dyDescent="0.25">
      <c r="A644" t="s">
        <v>1811</v>
      </c>
      <c r="B644" t="s">
        <v>1949</v>
      </c>
      <c r="C644" t="s">
        <v>1950</v>
      </c>
    </row>
    <row r="645" spans="1:3" x14ac:dyDescent="0.25">
      <c r="A645" t="s">
        <v>1811</v>
      </c>
      <c r="B645" t="s">
        <v>1951</v>
      </c>
      <c r="C645" t="s">
        <v>1952</v>
      </c>
    </row>
    <row r="646" spans="1:3" x14ac:dyDescent="0.25">
      <c r="A646" t="s">
        <v>1811</v>
      </c>
      <c r="B646" t="s">
        <v>1953</v>
      </c>
      <c r="C646" t="s">
        <v>1954</v>
      </c>
    </row>
    <row r="647" spans="1:3" x14ac:dyDescent="0.25">
      <c r="A647" t="s">
        <v>1811</v>
      </c>
      <c r="B647" t="s">
        <v>1955</v>
      </c>
      <c r="C647" t="s">
        <v>1956</v>
      </c>
    </row>
    <row r="648" spans="1:3" x14ac:dyDescent="0.25">
      <c r="A648" t="s">
        <v>1811</v>
      </c>
      <c r="B648" t="s">
        <v>1957</v>
      </c>
      <c r="C648" t="s">
        <v>1958</v>
      </c>
    </row>
    <row r="649" spans="1:3" x14ac:dyDescent="0.25">
      <c r="A649" t="s">
        <v>1811</v>
      </c>
      <c r="B649" t="s">
        <v>1959</v>
      </c>
      <c r="C649" t="s">
        <v>1960</v>
      </c>
    </row>
    <row r="650" spans="1:3" x14ac:dyDescent="0.25">
      <c r="A650" t="s">
        <v>1811</v>
      </c>
      <c r="B650" t="s">
        <v>1961</v>
      </c>
      <c r="C650" t="s">
        <v>1962</v>
      </c>
    </row>
    <row r="651" spans="1:3" x14ac:dyDescent="0.25">
      <c r="A651" t="s">
        <v>1811</v>
      </c>
      <c r="B651" t="s">
        <v>1963</v>
      </c>
      <c r="C651" t="s">
        <v>1964</v>
      </c>
    </row>
    <row r="652" spans="1:3" x14ac:dyDescent="0.25">
      <c r="A652" t="s">
        <v>1811</v>
      </c>
      <c r="B652" t="s">
        <v>1965</v>
      </c>
      <c r="C652" t="s">
        <v>1966</v>
      </c>
    </row>
    <row r="653" spans="1:3" x14ac:dyDescent="0.25">
      <c r="A653" t="s">
        <v>1811</v>
      </c>
      <c r="B653" t="s">
        <v>1967</v>
      </c>
      <c r="C653" t="s">
        <v>1968</v>
      </c>
    </row>
    <row r="654" spans="1:3" x14ac:dyDescent="0.25">
      <c r="A654" t="s">
        <v>1811</v>
      </c>
      <c r="B654" t="s">
        <v>1969</v>
      </c>
      <c r="C654" t="s">
        <v>1970</v>
      </c>
    </row>
    <row r="655" spans="1:3" x14ac:dyDescent="0.25">
      <c r="A655" t="s">
        <v>1811</v>
      </c>
      <c r="B655" t="s">
        <v>1971</v>
      </c>
      <c r="C655" t="s">
        <v>1972</v>
      </c>
    </row>
    <row r="656" spans="1:3" x14ac:dyDescent="0.25">
      <c r="A656" t="s">
        <v>1811</v>
      </c>
      <c r="B656" t="s">
        <v>1973</v>
      </c>
      <c r="C656" t="s">
        <v>1974</v>
      </c>
    </row>
    <row r="657" spans="1:3" x14ac:dyDescent="0.25">
      <c r="A657" t="s">
        <v>1811</v>
      </c>
      <c r="B657" t="s">
        <v>1975</v>
      </c>
      <c r="C657" t="s">
        <v>1976</v>
      </c>
    </row>
    <row r="658" spans="1:3" x14ac:dyDescent="0.25">
      <c r="A658" t="s">
        <v>1811</v>
      </c>
      <c r="B658" t="s">
        <v>1977</v>
      </c>
      <c r="C658" t="s">
        <v>1978</v>
      </c>
    </row>
    <row r="660" spans="1:3" x14ac:dyDescent="0.25">
      <c r="A660" t="s">
        <v>48</v>
      </c>
      <c r="B660" t="s">
        <v>1979</v>
      </c>
      <c r="C660" t="s">
        <v>1980</v>
      </c>
    </row>
    <row r="661" spans="1:3" x14ac:dyDescent="0.25">
      <c r="A661" t="s">
        <v>48</v>
      </c>
      <c r="B661" t="s">
        <v>1981</v>
      </c>
      <c r="C661" t="s">
        <v>1982</v>
      </c>
    </row>
    <row r="662" spans="1:3" x14ac:dyDescent="0.25">
      <c r="A662" t="s">
        <v>48</v>
      </c>
      <c r="B662" t="s">
        <v>1983</v>
      </c>
      <c r="C662" t="s">
        <v>1984</v>
      </c>
    </row>
    <row r="663" spans="1:3" x14ac:dyDescent="0.25">
      <c r="A663" t="s">
        <v>48</v>
      </c>
      <c r="B663" t="s">
        <v>1985</v>
      </c>
      <c r="C663" t="s">
        <v>1986</v>
      </c>
    </row>
    <row r="664" spans="1:3" x14ac:dyDescent="0.25">
      <c r="A664" t="s">
        <v>48</v>
      </c>
      <c r="B664" t="s">
        <v>1987</v>
      </c>
      <c r="C664" t="s">
        <v>1988</v>
      </c>
    </row>
    <row r="665" spans="1:3" x14ac:dyDescent="0.25">
      <c r="A665" t="s">
        <v>48</v>
      </c>
      <c r="B665" t="s">
        <v>1989</v>
      </c>
      <c r="C665" t="s">
        <v>1990</v>
      </c>
    </row>
    <row r="666" spans="1:3" x14ac:dyDescent="0.25">
      <c r="A666" t="s">
        <v>48</v>
      </c>
      <c r="B666" t="s">
        <v>1991</v>
      </c>
      <c r="C666" t="s">
        <v>1992</v>
      </c>
    </row>
    <row r="667" spans="1:3" x14ac:dyDescent="0.25">
      <c r="A667" t="s">
        <v>48</v>
      </c>
      <c r="B667" t="s">
        <v>1993</v>
      </c>
      <c r="C667" t="s">
        <v>1994</v>
      </c>
    </row>
    <row r="668" spans="1:3" x14ac:dyDescent="0.25">
      <c r="A668" t="s">
        <v>48</v>
      </c>
      <c r="B668" t="s">
        <v>1995</v>
      </c>
      <c r="C668" t="s">
        <v>1996</v>
      </c>
    </row>
    <row r="669" spans="1:3" x14ac:dyDescent="0.25">
      <c r="A669" t="s">
        <v>48</v>
      </c>
      <c r="B669" t="s">
        <v>1997</v>
      </c>
      <c r="C669" t="s">
        <v>1998</v>
      </c>
    </row>
    <row r="671" spans="1:3" x14ac:dyDescent="0.25">
      <c r="A671" t="s">
        <v>146</v>
      </c>
      <c r="B671" t="s">
        <v>1999</v>
      </c>
      <c r="C671" t="s">
        <v>1228</v>
      </c>
    </row>
    <row r="672" spans="1:3" x14ac:dyDescent="0.25">
      <c r="A672" t="s">
        <v>146</v>
      </c>
      <c r="B672" t="s">
        <v>1229</v>
      </c>
      <c r="C672" t="s">
        <v>1230</v>
      </c>
    </row>
    <row r="673" spans="1:3" x14ac:dyDescent="0.25">
      <c r="A673" t="s">
        <v>146</v>
      </c>
      <c r="B673" t="s">
        <v>1231</v>
      </c>
      <c r="C673" t="s">
        <v>1232</v>
      </c>
    </row>
    <row r="674" spans="1:3" x14ac:dyDescent="0.25">
      <c r="A674" t="s">
        <v>146</v>
      </c>
      <c r="B674" t="s">
        <v>2000</v>
      </c>
      <c r="C674" t="s">
        <v>1234</v>
      </c>
    </row>
    <row r="676" spans="1:3" x14ac:dyDescent="0.25">
      <c r="A676" t="s">
        <v>664</v>
      </c>
      <c r="B676" t="s">
        <v>2001</v>
      </c>
      <c r="C676" t="s">
        <v>2002</v>
      </c>
    </row>
    <row r="677" spans="1:3" x14ac:dyDescent="0.25">
      <c r="A677" t="s">
        <v>664</v>
      </c>
      <c r="B677" t="s">
        <v>2003</v>
      </c>
      <c r="C677" t="s">
        <v>2004</v>
      </c>
    </row>
    <row r="678" spans="1:3" x14ac:dyDescent="0.25">
      <c r="A678" t="s">
        <v>664</v>
      </c>
      <c r="B678" t="s">
        <v>2005</v>
      </c>
      <c r="C678" t="s">
        <v>2006</v>
      </c>
    </row>
    <row r="679" spans="1:3" x14ac:dyDescent="0.25">
      <c r="A679" t="s">
        <v>664</v>
      </c>
      <c r="B679" t="s">
        <v>2007</v>
      </c>
      <c r="C679" t="s">
        <v>2008</v>
      </c>
    </row>
    <row r="680" spans="1:3" x14ac:dyDescent="0.25">
      <c r="A680" t="s">
        <v>664</v>
      </c>
      <c r="B680" t="s">
        <v>2009</v>
      </c>
      <c r="C680" t="s">
        <v>2010</v>
      </c>
    </row>
    <row r="681" spans="1:3" x14ac:dyDescent="0.25">
      <c r="A681" t="s">
        <v>664</v>
      </c>
      <c r="B681" t="s">
        <v>2011</v>
      </c>
      <c r="C681" t="s">
        <v>2012</v>
      </c>
    </row>
    <row r="682" spans="1:3" x14ac:dyDescent="0.25">
      <c r="A682" t="s">
        <v>664</v>
      </c>
      <c r="B682" t="s">
        <v>2013</v>
      </c>
      <c r="C682" t="s">
        <v>2014</v>
      </c>
    </row>
    <row r="683" spans="1:3" x14ac:dyDescent="0.25">
      <c r="A683" t="s">
        <v>664</v>
      </c>
      <c r="B683" t="s">
        <v>2015</v>
      </c>
      <c r="C683" t="s">
        <v>2016</v>
      </c>
    </row>
    <row r="684" spans="1:3" x14ac:dyDescent="0.25">
      <c r="A684" t="s">
        <v>664</v>
      </c>
      <c r="B684" t="s">
        <v>2017</v>
      </c>
      <c r="C684" t="s">
        <v>2018</v>
      </c>
    </row>
    <row r="685" spans="1:3" x14ac:dyDescent="0.25">
      <c r="A685" t="s">
        <v>664</v>
      </c>
      <c r="B685" t="s">
        <v>2019</v>
      </c>
      <c r="C685" t="s">
        <v>2020</v>
      </c>
    </row>
    <row r="686" spans="1:3" x14ac:dyDescent="0.25">
      <c r="A686" t="s">
        <v>664</v>
      </c>
      <c r="B686" t="s">
        <v>2021</v>
      </c>
      <c r="C686" t="s">
        <v>2022</v>
      </c>
    </row>
    <row r="687" spans="1:3" x14ac:dyDescent="0.25">
      <c r="A687" t="s">
        <v>664</v>
      </c>
      <c r="B687" t="s">
        <v>2023</v>
      </c>
      <c r="C687" t="s">
        <v>2024</v>
      </c>
    </row>
    <row r="688" spans="1:3" x14ac:dyDescent="0.25">
      <c r="A688" t="s">
        <v>664</v>
      </c>
      <c r="B688" t="s">
        <v>2025</v>
      </c>
      <c r="C688" t="s">
        <v>2026</v>
      </c>
    </row>
    <row r="689" spans="1:3" x14ac:dyDescent="0.25">
      <c r="A689" t="s">
        <v>664</v>
      </c>
      <c r="B689" t="s">
        <v>2027</v>
      </c>
      <c r="C689" t="s">
        <v>2028</v>
      </c>
    </row>
    <row r="690" spans="1:3" x14ac:dyDescent="0.25">
      <c r="A690" t="s">
        <v>664</v>
      </c>
      <c r="B690" t="s">
        <v>2029</v>
      </c>
      <c r="C690" t="s">
        <v>2030</v>
      </c>
    </row>
    <row r="691" spans="1:3" x14ac:dyDescent="0.25">
      <c r="A691" t="s">
        <v>664</v>
      </c>
      <c r="B691" t="s">
        <v>2031</v>
      </c>
      <c r="C691" t="s">
        <v>2032</v>
      </c>
    </row>
    <row r="692" spans="1:3" x14ac:dyDescent="0.25">
      <c r="A692" t="s">
        <v>664</v>
      </c>
      <c r="B692" t="s">
        <v>2033</v>
      </c>
      <c r="C692" t="s">
        <v>2034</v>
      </c>
    </row>
    <row r="693" spans="1:3" x14ac:dyDescent="0.25">
      <c r="A693" t="s">
        <v>664</v>
      </c>
      <c r="B693" t="s">
        <v>2035</v>
      </c>
      <c r="C693" t="s">
        <v>2036</v>
      </c>
    </row>
    <row r="694" spans="1:3" x14ac:dyDescent="0.25">
      <c r="A694" t="s">
        <v>664</v>
      </c>
      <c r="B694" t="s">
        <v>2037</v>
      </c>
      <c r="C694" t="s">
        <v>2038</v>
      </c>
    </row>
    <row r="695" spans="1:3" x14ac:dyDescent="0.25">
      <c r="A695" t="s">
        <v>664</v>
      </c>
      <c r="B695" t="s">
        <v>2039</v>
      </c>
      <c r="C695" t="s">
        <v>2040</v>
      </c>
    </row>
    <row r="696" spans="1:3" x14ac:dyDescent="0.25">
      <c r="A696" t="s">
        <v>664</v>
      </c>
      <c r="B696" t="s">
        <v>2041</v>
      </c>
      <c r="C696" t="s">
        <v>2042</v>
      </c>
    </row>
    <row r="697" spans="1:3" x14ac:dyDescent="0.25">
      <c r="A697" t="s">
        <v>664</v>
      </c>
      <c r="B697" t="s">
        <v>2043</v>
      </c>
      <c r="C697" t="s">
        <v>2044</v>
      </c>
    </row>
    <row r="698" spans="1:3" x14ac:dyDescent="0.25">
      <c r="A698" t="s">
        <v>664</v>
      </c>
      <c r="B698" t="s">
        <v>2045</v>
      </c>
      <c r="C698" t="s">
        <v>2046</v>
      </c>
    </row>
    <row r="699" spans="1:3" x14ac:dyDescent="0.25">
      <c r="A699" t="s">
        <v>664</v>
      </c>
      <c r="B699" t="s">
        <v>2047</v>
      </c>
      <c r="C699" t="s">
        <v>2048</v>
      </c>
    </row>
    <row r="700" spans="1:3" x14ac:dyDescent="0.25">
      <c r="A700" t="s">
        <v>664</v>
      </c>
      <c r="B700" t="s">
        <v>2049</v>
      </c>
      <c r="C700" t="s">
        <v>2050</v>
      </c>
    </row>
    <row r="701" spans="1:3" x14ac:dyDescent="0.25">
      <c r="A701" t="s">
        <v>664</v>
      </c>
      <c r="B701" t="s">
        <v>2051</v>
      </c>
      <c r="C701" t="s">
        <v>2052</v>
      </c>
    </row>
    <row r="702" spans="1:3" x14ac:dyDescent="0.25">
      <c r="A702" t="s">
        <v>664</v>
      </c>
      <c r="B702" t="s">
        <v>2053</v>
      </c>
      <c r="C702" t="s">
        <v>2054</v>
      </c>
    </row>
    <row r="703" spans="1:3" x14ac:dyDescent="0.25">
      <c r="A703" t="s">
        <v>664</v>
      </c>
      <c r="B703" t="s">
        <v>2055</v>
      </c>
      <c r="C703" t="s">
        <v>2056</v>
      </c>
    </row>
    <row r="704" spans="1:3" x14ac:dyDescent="0.25">
      <c r="A704" t="s">
        <v>664</v>
      </c>
      <c r="B704" t="s">
        <v>2057</v>
      </c>
      <c r="C704" t="s">
        <v>2058</v>
      </c>
    </row>
    <row r="705" spans="1:3" x14ac:dyDescent="0.25">
      <c r="A705" t="s">
        <v>664</v>
      </c>
      <c r="B705" t="s">
        <v>2059</v>
      </c>
      <c r="C705" t="s">
        <v>2060</v>
      </c>
    </row>
    <row r="706" spans="1:3" x14ac:dyDescent="0.25">
      <c r="A706" t="s">
        <v>664</v>
      </c>
      <c r="B706" t="s">
        <v>2061</v>
      </c>
      <c r="C706" t="s">
        <v>2062</v>
      </c>
    </row>
    <row r="707" spans="1:3" x14ac:dyDescent="0.25">
      <c r="A707" t="s">
        <v>664</v>
      </c>
      <c r="B707" t="s">
        <v>2063</v>
      </c>
      <c r="C707" t="s">
        <v>2064</v>
      </c>
    </row>
    <row r="708" spans="1:3" x14ac:dyDescent="0.25">
      <c r="A708" t="s">
        <v>664</v>
      </c>
      <c r="B708" t="s">
        <v>2065</v>
      </c>
      <c r="C708" t="s">
        <v>2066</v>
      </c>
    </row>
    <row r="709" spans="1:3" x14ac:dyDescent="0.25">
      <c r="A709" t="s">
        <v>664</v>
      </c>
      <c r="B709" t="s">
        <v>2067</v>
      </c>
      <c r="C709" t="s">
        <v>2068</v>
      </c>
    </row>
    <row r="710" spans="1:3" x14ac:dyDescent="0.25">
      <c r="A710" t="s">
        <v>664</v>
      </c>
      <c r="B710" t="s">
        <v>2069</v>
      </c>
      <c r="C710" t="s">
        <v>2070</v>
      </c>
    </row>
    <row r="711" spans="1:3" x14ac:dyDescent="0.25">
      <c r="A711" t="s">
        <v>664</v>
      </c>
      <c r="B711" t="s">
        <v>2071</v>
      </c>
      <c r="C711" t="s">
        <v>2072</v>
      </c>
    </row>
    <row r="712" spans="1:3" x14ac:dyDescent="0.25">
      <c r="A712" t="s">
        <v>664</v>
      </c>
      <c r="B712" t="s">
        <v>2073</v>
      </c>
      <c r="C712" t="s">
        <v>2074</v>
      </c>
    </row>
    <row r="713" spans="1:3" x14ac:dyDescent="0.25">
      <c r="A713" t="s">
        <v>664</v>
      </c>
      <c r="B713" t="s">
        <v>2075</v>
      </c>
      <c r="C713" t="s">
        <v>2076</v>
      </c>
    </row>
    <row r="714" spans="1:3" x14ac:dyDescent="0.25">
      <c r="A714" t="s">
        <v>664</v>
      </c>
      <c r="B714" t="s">
        <v>2077</v>
      </c>
      <c r="C714" t="s">
        <v>2078</v>
      </c>
    </row>
    <row r="715" spans="1:3" x14ac:dyDescent="0.25">
      <c r="A715" t="s">
        <v>664</v>
      </c>
      <c r="B715" t="s">
        <v>2079</v>
      </c>
      <c r="C715" t="s">
        <v>2080</v>
      </c>
    </row>
    <row r="716" spans="1:3" x14ac:dyDescent="0.25">
      <c r="A716" t="s">
        <v>664</v>
      </c>
      <c r="B716" t="s">
        <v>2081</v>
      </c>
      <c r="C716" t="s">
        <v>2082</v>
      </c>
    </row>
    <row r="717" spans="1:3" x14ac:dyDescent="0.25">
      <c r="A717" t="s">
        <v>664</v>
      </c>
      <c r="B717" t="s">
        <v>2083</v>
      </c>
      <c r="C717" t="s">
        <v>2084</v>
      </c>
    </row>
    <row r="718" spans="1:3" x14ac:dyDescent="0.25">
      <c r="A718" t="s">
        <v>664</v>
      </c>
      <c r="B718" t="s">
        <v>2085</v>
      </c>
      <c r="C718" t="s">
        <v>2086</v>
      </c>
    </row>
    <row r="719" spans="1:3" x14ac:dyDescent="0.25">
      <c r="A719" t="s">
        <v>664</v>
      </c>
      <c r="B719" t="s">
        <v>2087</v>
      </c>
      <c r="C719" t="s">
        <v>2088</v>
      </c>
    </row>
    <row r="720" spans="1:3" x14ac:dyDescent="0.25">
      <c r="A720" t="s">
        <v>664</v>
      </c>
      <c r="B720" t="s">
        <v>2089</v>
      </c>
      <c r="C720" t="s">
        <v>2090</v>
      </c>
    </row>
    <row r="721" spans="1:3" x14ac:dyDescent="0.25">
      <c r="A721" t="s">
        <v>664</v>
      </c>
      <c r="B721" t="s">
        <v>2091</v>
      </c>
      <c r="C721" t="s">
        <v>2092</v>
      </c>
    </row>
    <row r="722" spans="1:3" x14ac:dyDescent="0.25">
      <c r="A722" t="s">
        <v>664</v>
      </c>
      <c r="B722" t="s">
        <v>2093</v>
      </c>
      <c r="C722" t="s">
        <v>2094</v>
      </c>
    </row>
    <row r="723" spans="1:3" x14ac:dyDescent="0.25">
      <c r="A723" t="s">
        <v>664</v>
      </c>
      <c r="B723" t="s">
        <v>2095</v>
      </c>
      <c r="C723" t="s">
        <v>2096</v>
      </c>
    </row>
    <row r="724" spans="1:3" x14ac:dyDescent="0.25">
      <c r="A724" t="s">
        <v>664</v>
      </c>
      <c r="B724" t="s">
        <v>2097</v>
      </c>
      <c r="C724" t="s">
        <v>2098</v>
      </c>
    </row>
    <row r="725" spans="1:3" x14ac:dyDescent="0.25">
      <c r="A725" t="s">
        <v>664</v>
      </c>
      <c r="B725" t="s">
        <v>2099</v>
      </c>
      <c r="C725" t="s">
        <v>2100</v>
      </c>
    </row>
    <row r="726" spans="1:3" x14ac:dyDescent="0.25">
      <c r="A726" t="s">
        <v>664</v>
      </c>
      <c r="B726" t="s">
        <v>2101</v>
      </c>
      <c r="C726" t="s">
        <v>2102</v>
      </c>
    </row>
    <row r="727" spans="1:3" x14ac:dyDescent="0.25">
      <c r="A727" t="s">
        <v>664</v>
      </c>
      <c r="B727" t="s">
        <v>2103</v>
      </c>
      <c r="C727" t="s">
        <v>2104</v>
      </c>
    </row>
    <row r="728" spans="1:3" x14ac:dyDescent="0.25">
      <c r="A728" t="s">
        <v>664</v>
      </c>
      <c r="B728" t="s">
        <v>2105</v>
      </c>
      <c r="C728" t="s">
        <v>2106</v>
      </c>
    </row>
    <row r="729" spans="1:3" x14ac:dyDescent="0.25">
      <c r="A729" t="s">
        <v>664</v>
      </c>
      <c r="B729" t="s">
        <v>2107</v>
      </c>
      <c r="C729" t="s">
        <v>2108</v>
      </c>
    </row>
    <row r="730" spans="1:3" x14ac:dyDescent="0.25">
      <c r="A730" t="s">
        <v>664</v>
      </c>
      <c r="B730" t="s">
        <v>2109</v>
      </c>
      <c r="C730" t="s">
        <v>2110</v>
      </c>
    </row>
    <row r="731" spans="1:3" x14ac:dyDescent="0.25">
      <c r="A731" t="s">
        <v>664</v>
      </c>
      <c r="B731" t="s">
        <v>2111</v>
      </c>
      <c r="C731" t="s">
        <v>2112</v>
      </c>
    </row>
    <row r="732" spans="1:3" x14ac:dyDescent="0.25">
      <c r="A732" t="s">
        <v>664</v>
      </c>
      <c r="B732" t="s">
        <v>2113</v>
      </c>
      <c r="C732" t="s">
        <v>2114</v>
      </c>
    </row>
    <row r="733" spans="1:3" x14ac:dyDescent="0.25">
      <c r="A733" t="s">
        <v>664</v>
      </c>
      <c r="B733" t="s">
        <v>2115</v>
      </c>
      <c r="C733" t="s">
        <v>2116</v>
      </c>
    </row>
    <row r="734" spans="1:3" x14ac:dyDescent="0.25">
      <c r="A734" t="s">
        <v>664</v>
      </c>
      <c r="B734" t="s">
        <v>2117</v>
      </c>
      <c r="C734" t="s">
        <v>2118</v>
      </c>
    </row>
    <row r="735" spans="1:3" x14ac:dyDescent="0.25">
      <c r="A735" t="s">
        <v>664</v>
      </c>
      <c r="B735" t="s">
        <v>2119</v>
      </c>
      <c r="C735" t="s">
        <v>2120</v>
      </c>
    </row>
  </sheetData>
  <autoFilter ref="A1:D674" xr:uid="{00000000-0009-0000-0000-000001000000}"/>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workbookViewId="0">
      <selection activeCell="D15" sqref="D15"/>
    </sheetView>
  </sheetViews>
  <sheetFormatPr defaultColWidth="11.25" defaultRowHeight="15.75" x14ac:dyDescent="0.25"/>
  <cols>
    <col min="1" max="1" width="31.25" bestFit="1" customWidth="1"/>
    <col min="2" max="2" width="23.75" bestFit="1" customWidth="1"/>
    <col min="3" max="3" width="15.25" bestFit="1" customWidth="1"/>
    <col min="4" max="4" width="33.875" customWidth="1"/>
    <col min="5" max="5" width="42.75" bestFit="1" customWidth="1"/>
  </cols>
  <sheetData>
    <row r="1" spans="1:6" x14ac:dyDescent="0.25">
      <c r="A1" s="1" t="s">
        <v>2121</v>
      </c>
      <c r="B1" s="1" t="s">
        <v>2122</v>
      </c>
      <c r="C1" s="1" t="s">
        <v>2123</v>
      </c>
      <c r="D1" s="1" t="s">
        <v>2124</v>
      </c>
      <c r="E1" s="1" t="s">
        <v>2125</v>
      </c>
      <c r="F1" s="1" t="s">
        <v>2126</v>
      </c>
    </row>
    <row r="2" spans="1:6" x14ac:dyDescent="0.25">
      <c r="A2" t="s">
        <v>2652</v>
      </c>
      <c r="B2" t="s">
        <v>2653</v>
      </c>
      <c r="C2" t="s">
        <v>2127</v>
      </c>
      <c r="D2">
        <v>20221107.100000001</v>
      </c>
      <c r="E2" t="s">
        <v>2128</v>
      </c>
      <c r="F2" t="s">
        <v>2129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4"/>
  <sheetViews>
    <sheetView workbookViewId="0">
      <pane ySplit="1" topLeftCell="A145" activePane="bottomLeft" state="frozen"/>
      <selection pane="bottomLeft" activeCell="C147" sqref="C147:C151"/>
    </sheetView>
  </sheetViews>
  <sheetFormatPr defaultColWidth="11.25" defaultRowHeight="15.75" x14ac:dyDescent="0.25"/>
  <cols>
    <col min="1" max="1" width="16.5" bestFit="1" customWidth="1"/>
    <col min="2" max="2" width="41" bestFit="1" customWidth="1"/>
    <col min="3" max="3" width="42.75" bestFit="1" customWidth="1"/>
    <col min="4" max="4" width="9.75" customWidth="1"/>
    <col min="5" max="5" width="9.25" customWidth="1"/>
  </cols>
  <sheetData>
    <row r="1" spans="1:6" x14ac:dyDescent="0.25">
      <c r="A1" t="s">
        <v>1144</v>
      </c>
      <c r="B1" t="s">
        <v>1</v>
      </c>
      <c r="C1" t="s">
        <v>3</v>
      </c>
      <c r="D1" t="s">
        <v>1145</v>
      </c>
      <c r="E1" t="s">
        <v>57</v>
      </c>
      <c r="F1" t="s">
        <v>61</v>
      </c>
    </row>
    <row r="2" spans="1:6" x14ac:dyDescent="0.25">
      <c r="A2" t="s">
        <v>48</v>
      </c>
      <c r="B2" t="s">
        <v>1979</v>
      </c>
      <c r="C2" t="s">
        <v>1980</v>
      </c>
      <c r="D2">
        <v>1</v>
      </c>
    </row>
    <row r="3" spans="1:6" x14ac:dyDescent="0.25">
      <c r="A3" t="s">
        <v>48</v>
      </c>
      <c r="B3" t="s">
        <v>1981</v>
      </c>
      <c r="C3" t="s">
        <v>1982</v>
      </c>
      <c r="D3">
        <v>1</v>
      </c>
    </row>
    <row r="4" spans="1:6" x14ac:dyDescent="0.25">
      <c r="A4" t="s">
        <v>48</v>
      </c>
      <c r="B4" t="s">
        <v>1983</v>
      </c>
      <c r="C4" t="s">
        <v>1984</v>
      </c>
      <c r="D4">
        <v>1</v>
      </c>
    </row>
    <row r="5" spans="1:6" x14ac:dyDescent="0.25">
      <c r="A5" t="s">
        <v>48</v>
      </c>
      <c r="B5" t="s">
        <v>1985</v>
      </c>
      <c r="C5" t="s">
        <v>1986</v>
      </c>
      <c r="D5">
        <v>1</v>
      </c>
    </row>
    <row r="6" spans="1:6" x14ac:dyDescent="0.25">
      <c r="A6" t="s">
        <v>48</v>
      </c>
      <c r="B6" t="s">
        <v>1987</v>
      </c>
      <c r="C6" t="s">
        <v>1988</v>
      </c>
      <c r="D6">
        <v>1</v>
      </c>
    </row>
    <row r="7" spans="1:6" x14ac:dyDescent="0.25">
      <c r="A7" t="s">
        <v>48</v>
      </c>
      <c r="B7" t="s">
        <v>1989</v>
      </c>
      <c r="C7" t="s">
        <v>1990</v>
      </c>
      <c r="D7">
        <v>1</v>
      </c>
    </row>
    <row r="8" spans="1:6" x14ac:dyDescent="0.25">
      <c r="A8" t="s">
        <v>48</v>
      </c>
      <c r="B8" t="s">
        <v>1991</v>
      </c>
      <c r="C8" t="s">
        <v>1992</v>
      </c>
      <c r="D8">
        <v>1</v>
      </c>
    </row>
    <row r="9" spans="1:6" x14ac:dyDescent="0.25">
      <c r="A9" t="s">
        <v>48</v>
      </c>
      <c r="B9" t="s">
        <v>1993</v>
      </c>
      <c r="C9" t="s">
        <v>1994</v>
      </c>
      <c r="D9">
        <v>1</v>
      </c>
    </row>
    <row r="10" spans="1:6" x14ac:dyDescent="0.25">
      <c r="A10" t="s">
        <v>48</v>
      </c>
      <c r="B10" t="s">
        <v>1995</v>
      </c>
      <c r="C10" t="s">
        <v>1996</v>
      </c>
      <c r="D10">
        <v>1</v>
      </c>
    </row>
    <row r="11" spans="1:6" x14ac:dyDescent="0.25">
      <c r="A11" t="s">
        <v>48</v>
      </c>
      <c r="B11" t="s">
        <v>1997</v>
      </c>
      <c r="C11" t="s">
        <v>1998</v>
      </c>
      <c r="D11">
        <v>1</v>
      </c>
    </row>
    <row r="13" spans="1:6" x14ac:dyDescent="0.25">
      <c r="A13" t="s">
        <v>750</v>
      </c>
      <c r="B13" t="s">
        <v>1551</v>
      </c>
      <c r="C13" t="s">
        <v>1552</v>
      </c>
    </row>
    <row r="14" spans="1:6" x14ac:dyDescent="0.25">
      <c r="A14" t="s">
        <v>750</v>
      </c>
      <c r="B14" t="s">
        <v>1553</v>
      </c>
      <c r="C14" t="s">
        <v>1554</v>
      </c>
    </row>
    <row r="15" spans="1:6" x14ac:dyDescent="0.25">
      <c r="A15" t="s">
        <v>750</v>
      </c>
      <c r="B15" t="s">
        <v>1555</v>
      </c>
      <c r="C15" t="s">
        <v>1556</v>
      </c>
    </row>
    <row r="16" spans="1:6" x14ac:dyDescent="0.25">
      <c r="A16" t="s">
        <v>750</v>
      </c>
      <c r="B16" t="s">
        <v>1557</v>
      </c>
      <c r="C16" t="s">
        <v>1558</v>
      </c>
    </row>
    <row r="17" spans="1:3" x14ac:dyDescent="0.25">
      <c r="A17" t="s">
        <v>750</v>
      </c>
      <c r="B17" t="s">
        <v>1559</v>
      </c>
      <c r="C17" t="s">
        <v>1560</v>
      </c>
    </row>
    <row r="18" spans="1:3" x14ac:dyDescent="0.25">
      <c r="A18" t="s">
        <v>750</v>
      </c>
      <c r="B18" t="s">
        <v>1561</v>
      </c>
      <c r="C18" t="s">
        <v>1562</v>
      </c>
    </row>
    <row r="19" spans="1:3" x14ac:dyDescent="0.25">
      <c r="A19" t="s">
        <v>750</v>
      </c>
      <c r="B19" t="s">
        <v>1563</v>
      </c>
      <c r="C19" t="s">
        <v>1564</v>
      </c>
    </row>
    <row r="20" spans="1:3" x14ac:dyDescent="0.25">
      <c r="A20" t="s">
        <v>750</v>
      </c>
      <c r="B20" t="s">
        <v>1565</v>
      </c>
      <c r="C20" t="s">
        <v>1566</v>
      </c>
    </row>
    <row r="21" spans="1:3" x14ac:dyDescent="0.25">
      <c r="A21" t="s">
        <v>750</v>
      </c>
      <c r="B21" t="s">
        <v>1567</v>
      </c>
      <c r="C21" t="s">
        <v>1568</v>
      </c>
    </row>
    <row r="22" spans="1:3" x14ac:dyDescent="0.25">
      <c r="A22" t="s">
        <v>750</v>
      </c>
      <c r="B22" t="s">
        <v>1569</v>
      </c>
      <c r="C22" t="s">
        <v>1570</v>
      </c>
    </row>
    <row r="23" spans="1:3" x14ac:dyDescent="0.25">
      <c r="A23" t="s">
        <v>750</v>
      </c>
      <c r="B23" t="s">
        <v>1571</v>
      </c>
      <c r="C23" t="s">
        <v>1572</v>
      </c>
    </row>
    <row r="24" spans="1:3" x14ac:dyDescent="0.25">
      <c r="A24" t="s">
        <v>750</v>
      </c>
      <c r="B24" t="s">
        <v>1573</v>
      </c>
      <c r="C24" t="s">
        <v>1574</v>
      </c>
    </row>
    <row r="25" spans="1:3" x14ac:dyDescent="0.25">
      <c r="A25" t="s">
        <v>750</v>
      </c>
      <c r="B25" t="s">
        <v>1575</v>
      </c>
      <c r="C25" t="s">
        <v>1576</v>
      </c>
    </row>
    <row r="26" spans="1:3" x14ac:dyDescent="0.25">
      <c r="A26" t="s">
        <v>750</v>
      </c>
      <c r="B26" t="s">
        <v>1577</v>
      </c>
      <c r="C26" t="s">
        <v>1578</v>
      </c>
    </row>
    <row r="27" spans="1:3" x14ac:dyDescent="0.25">
      <c r="A27" t="s">
        <v>750</v>
      </c>
      <c r="B27" t="s">
        <v>1579</v>
      </c>
      <c r="C27" t="s">
        <v>1580</v>
      </c>
    </row>
    <row r="28" spans="1:3" x14ac:dyDescent="0.25">
      <c r="A28" t="s">
        <v>750</v>
      </c>
      <c r="B28" t="s">
        <v>1581</v>
      </c>
      <c r="C28" t="s">
        <v>1582</v>
      </c>
    </row>
    <row r="29" spans="1:3" x14ac:dyDescent="0.25">
      <c r="A29" t="s">
        <v>750</v>
      </c>
      <c r="B29" t="s">
        <v>1583</v>
      </c>
      <c r="C29" t="s">
        <v>1584</v>
      </c>
    </row>
    <row r="30" spans="1:3" x14ac:dyDescent="0.25">
      <c r="A30" t="s">
        <v>750</v>
      </c>
      <c r="B30" t="s">
        <v>1585</v>
      </c>
      <c r="C30" t="s">
        <v>1586</v>
      </c>
    </row>
    <row r="31" spans="1:3" x14ac:dyDescent="0.25">
      <c r="A31" t="s">
        <v>750</v>
      </c>
      <c r="B31" t="s">
        <v>1587</v>
      </c>
      <c r="C31" t="s">
        <v>1588</v>
      </c>
    </row>
    <row r="32" spans="1:3" x14ac:dyDescent="0.25">
      <c r="A32" t="s">
        <v>750</v>
      </c>
      <c r="B32" t="s">
        <v>1589</v>
      </c>
      <c r="C32" t="s">
        <v>1590</v>
      </c>
    </row>
    <row r="33" spans="1:3" x14ac:dyDescent="0.25">
      <c r="A33" t="s">
        <v>750</v>
      </c>
      <c r="B33" t="s">
        <v>1591</v>
      </c>
      <c r="C33" t="s">
        <v>1592</v>
      </c>
    </row>
    <row r="34" spans="1:3" x14ac:dyDescent="0.25">
      <c r="A34" t="s">
        <v>750</v>
      </c>
      <c r="B34" t="s">
        <v>1593</v>
      </c>
      <c r="C34" t="s">
        <v>1594</v>
      </c>
    </row>
    <row r="35" spans="1:3" x14ac:dyDescent="0.25">
      <c r="A35" t="s">
        <v>750</v>
      </c>
      <c r="B35" t="s">
        <v>1595</v>
      </c>
      <c r="C35" t="s">
        <v>1596</v>
      </c>
    </row>
    <row r="36" spans="1:3" x14ac:dyDescent="0.25">
      <c r="A36" t="s">
        <v>750</v>
      </c>
      <c r="B36" t="s">
        <v>1597</v>
      </c>
      <c r="C36" t="s">
        <v>1598</v>
      </c>
    </row>
    <row r="37" spans="1:3" x14ac:dyDescent="0.25">
      <c r="A37" t="s">
        <v>750</v>
      </c>
      <c r="B37" t="s">
        <v>1599</v>
      </c>
      <c r="C37" t="s">
        <v>1600</v>
      </c>
    </row>
    <row r="38" spans="1:3" x14ac:dyDescent="0.25">
      <c r="A38" t="s">
        <v>750</v>
      </c>
      <c r="B38" t="s">
        <v>1601</v>
      </c>
      <c r="C38" t="s">
        <v>1602</v>
      </c>
    </row>
    <row r="39" spans="1:3" x14ac:dyDescent="0.25">
      <c r="A39" t="s">
        <v>750</v>
      </c>
      <c r="B39" t="s">
        <v>1603</v>
      </c>
      <c r="C39" t="s">
        <v>1604</v>
      </c>
    </row>
    <row r="40" spans="1:3" x14ac:dyDescent="0.25">
      <c r="A40" t="s">
        <v>750</v>
      </c>
      <c r="B40" t="s">
        <v>1605</v>
      </c>
      <c r="C40" t="s">
        <v>1606</v>
      </c>
    </row>
    <row r="41" spans="1:3" x14ac:dyDescent="0.25">
      <c r="A41" t="s">
        <v>750</v>
      </c>
      <c r="B41" t="s">
        <v>1607</v>
      </c>
      <c r="C41" t="s">
        <v>1608</v>
      </c>
    </row>
    <row r="42" spans="1:3" x14ac:dyDescent="0.25">
      <c r="A42" t="s">
        <v>750</v>
      </c>
      <c r="B42" t="s">
        <v>1609</v>
      </c>
      <c r="C42" t="s">
        <v>1610</v>
      </c>
    </row>
    <row r="43" spans="1:3" x14ac:dyDescent="0.25">
      <c r="A43" t="s">
        <v>750</v>
      </c>
      <c r="B43" t="s">
        <v>1549</v>
      </c>
      <c r="C43" t="s">
        <v>1550</v>
      </c>
    </row>
    <row r="44" spans="1:3" x14ac:dyDescent="0.25">
      <c r="A44" t="s">
        <v>750</v>
      </c>
      <c r="B44" t="s">
        <v>1611</v>
      </c>
      <c r="C44" t="s">
        <v>1612</v>
      </c>
    </row>
    <row r="45" spans="1:3" x14ac:dyDescent="0.25">
      <c r="A45" t="s">
        <v>750</v>
      </c>
      <c r="B45" t="s">
        <v>1613</v>
      </c>
      <c r="C45" t="s">
        <v>1614</v>
      </c>
    </row>
    <row r="46" spans="1:3" x14ac:dyDescent="0.25">
      <c r="A46" t="s">
        <v>750</v>
      </c>
      <c r="B46" t="s">
        <v>1615</v>
      </c>
      <c r="C46" t="s">
        <v>1616</v>
      </c>
    </row>
    <row r="47" spans="1:3" x14ac:dyDescent="0.25">
      <c r="A47" t="s">
        <v>750</v>
      </c>
      <c r="B47" t="s">
        <v>1617</v>
      </c>
      <c r="C47" t="s">
        <v>1618</v>
      </c>
    </row>
    <row r="48" spans="1:3" x14ac:dyDescent="0.25">
      <c r="A48" t="s">
        <v>750</v>
      </c>
      <c r="B48" t="s">
        <v>1543</v>
      </c>
      <c r="C48" t="s">
        <v>1544</v>
      </c>
    </row>
    <row r="49" spans="1:3" x14ac:dyDescent="0.25">
      <c r="A49" t="s">
        <v>750</v>
      </c>
      <c r="B49" t="s">
        <v>1619</v>
      </c>
      <c r="C49" t="s">
        <v>1620</v>
      </c>
    </row>
    <row r="50" spans="1:3" x14ac:dyDescent="0.25">
      <c r="A50" t="s">
        <v>750</v>
      </c>
      <c r="B50" t="s">
        <v>1621</v>
      </c>
      <c r="C50" t="s">
        <v>1622</v>
      </c>
    </row>
    <row r="51" spans="1:3" x14ac:dyDescent="0.25">
      <c r="A51" t="s">
        <v>750</v>
      </c>
      <c r="B51" t="s">
        <v>1623</v>
      </c>
      <c r="C51" t="s">
        <v>1624</v>
      </c>
    </row>
    <row r="52" spans="1:3" x14ac:dyDescent="0.25">
      <c r="A52" t="s">
        <v>750</v>
      </c>
      <c r="B52" t="s">
        <v>1625</v>
      </c>
      <c r="C52" t="s">
        <v>1626</v>
      </c>
    </row>
    <row r="53" spans="1:3" x14ac:dyDescent="0.25">
      <c r="A53" t="s">
        <v>750</v>
      </c>
      <c r="B53" t="s">
        <v>1627</v>
      </c>
      <c r="C53" t="s">
        <v>1628</v>
      </c>
    </row>
    <row r="54" spans="1:3" x14ac:dyDescent="0.25">
      <c r="A54" t="s">
        <v>750</v>
      </c>
      <c r="B54" t="s">
        <v>1629</v>
      </c>
      <c r="C54" t="s">
        <v>1630</v>
      </c>
    </row>
    <row r="55" spans="1:3" x14ac:dyDescent="0.25">
      <c r="A55" t="s">
        <v>750</v>
      </c>
      <c r="B55" t="s">
        <v>1631</v>
      </c>
      <c r="C55" t="s">
        <v>1632</v>
      </c>
    </row>
    <row r="56" spans="1:3" x14ac:dyDescent="0.25">
      <c r="A56" t="s">
        <v>750</v>
      </c>
      <c r="B56" t="s">
        <v>1633</v>
      </c>
      <c r="C56" t="s">
        <v>1634</v>
      </c>
    </row>
    <row r="57" spans="1:3" x14ac:dyDescent="0.25">
      <c r="A57" t="s">
        <v>750</v>
      </c>
      <c r="B57" t="s">
        <v>1635</v>
      </c>
      <c r="C57" t="s">
        <v>1636</v>
      </c>
    </row>
    <row r="58" spans="1:3" x14ac:dyDescent="0.25">
      <c r="A58" t="s">
        <v>750</v>
      </c>
      <c r="B58" t="s">
        <v>1637</v>
      </c>
      <c r="C58" t="s">
        <v>1638</v>
      </c>
    </row>
    <row r="59" spans="1:3" x14ac:dyDescent="0.25">
      <c r="A59" t="s">
        <v>750</v>
      </c>
      <c r="B59" t="s">
        <v>1639</v>
      </c>
      <c r="C59" t="s">
        <v>1640</v>
      </c>
    </row>
    <row r="60" spans="1:3" x14ac:dyDescent="0.25">
      <c r="A60" t="s">
        <v>750</v>
      </c>
      <c r="B60" t="s">
        <v>1641</v>
      </c>
      <c r="C60" t="s">
        <v>1642</v>
      </c>
    </row>
    <row r="61" spans="1:3" x14ac:dyDescent="0.25">
      <c r="A61" t="s">
        <v>750</v>
      </c>
      <c r="B61" t="s">
        <v>1643</v>
      </c>
      <c r="C61" t="s">
        <v>1644</v>
      </c>
    </row>
    <row r="62" spans="1:3" x14ac:dyDescent="0.25">
      <c r="A62" t="s">
        <v>750</v>
      </c>
      <c r="B62" t="s">
        <v>1645</v>
      </c>
      <c r="C62" t="s">
        <v>1646</v>
      </c>
    </row>
    <row r="63" spans="1:3" x14ac:dyDescent="0.25">
      <c r="A63" t="s">
        <v>750</v>
      </c>
      <c r="B63" t="s">
        <v>1647</v>
      </c>
      <c r="C63" t="s">
        <v>1648</v>
      </c>
    </row>
    <row r="64" spans="1:3" x14ac:dyDescent="0.25">
      <c r="A64" t="s">
        <v>750</v>
      </c>
      <c r="B64" t="s">
        <v>1649</v>
      </c>
      <c r="C64" t="s">
        <v>1650</v>
      </c>
    </row>
    <row r="65" spans="1:3" x14ac:dyDescent="0.25">
      <c r="A65" t="s">
        <v>750</v>
      </c>
      <c r="B65" t="s">
        <v>1651</v>
      </c>
      <c r="C65" t="s">
        <v>1652</v>
      </c>
    </row>
    <row r="66" spans="1:3" x14ac:dyDescent="0.25">
      <c r="A66" t="s">
        <v>750</v>
      </c>
      <c r="B66" t="s">
        <v>1653</v>
      </c>
      <c r="C66" t="s">
        <v>1654</v>
      </c>
    </row>
    <row r="67" spans="1:3" x14ac:dyDescent="0.25">
      <c r="A67" t="s">
        <v>750</v>
      </c>
      <c r="B67" t="s">
        <v>1655</v>
      </c>
      <c r="C67" t="s">
        <v>1656</v>
      </c>
    </row>
    <row r="68" spans="1:3" x14ac:dyDescent="0.25">
      <c r="A68" t="s">
        <v>750</v>
      </c>
      <c r="B68" t="s">
        <v>1657</v>
      </c>
      <c r="C68" t="s">
        <v>1658</v>
      </c>
    </row>
    <row r="69" spans="1:3" x14ac:dyDescent="0.25">
      <c r="A69" t="s">
        <v>750</v>
      </c>
      <c r="B69" t="s">
        <v>1659</v>
      </c>
      <c r="C69" t="s">
        <v>1660</v>
      </c>
    </row>
    <row r="70" spans="1:3" x14ac:dyDescent="0.25">
      <c r="A70" t="s">
        <v>750</v>
      </c>
      <c r="B70" t="s">
        <v>1661</v>
      </c>
      <c r="C70" t="s">
        <v>1662</v>
      </c>
    </row>
    <row r="71" spans="1:3" x14ac:dyDescent="0.25">
      <c r="A71" t="s">
        <v>750</v>
      </c>
      <c r="B71" t="s">
        <v>1663</v>
      </c>
      <c r="C71" t="s">
        <v>1664</v>
      </c>
    </row>
    <row r="72" spans="1:3" x14ac:dyDescent="0.25">
      <c r="A72" t="s">
        <v>750</v>
      </c>
      <c r="B72" t="s">
        <v>1665</v>
      </c>
      <c r="C72" t="s">
        <v>1666</v>
      </c>
    </row>
    <row r="73" spans="1:3" x14ac:dyDescent="0.25">
      <c r="A73" t="s">
        <v>750</v>
      </c>
      <c r="B73" t="s">
        <v>1667</v>
      </c>
      <c r="C73" t="s">
        <v>1668</v>
      </c>
    </row>
    <row r="74" spans="1:3" x14ac:dyDescent="0.25">
      <c r="A74" t="s">
        <v>750</v>
      </c>
      <c r="B74" t="s">
        <v>1669</v>
      </c>
      <c r="C74" t="s">
        <v>1670</v>
      </c>
    </row>
    <row r="75" spans="1:3" x14ac:dyDescent="0.25">
      <c r="A75" t="s">
        <v>750</v>
      </c>
      <c r="B75" t="s">
        <v>1671</v>
      </c>
      <c r="C75" t="s">
        <v>1672</v>
      </c>
    </row>
    <row r="76" spans="1:3" x14ac:dyDescent="0.25">
      <c r="A76" t="s">
        <v>750</v>
      </c>
      <c r="B76" t="s">
        <v>1673</v>
      </c>
      <c r="C76" t="s">
        <v>1674</v>
      </c>
    </row>
    <row r="77" spans="1:3" x14ac:dyDescent="0.25">
      <c r="A77" t="s">
        <v>750</v>
      </c>
      <c r="B77" t="s">
        <v>1675</v>
      </c>
      <c r="C77" t="s">
        <v>1676</v>
      </c>
    </row>
    <row r="78" spans="1:3" x14ac:dyDescent="0.25">
      <c r="A78" t="s">
        <v>750</v>
      </c>
      <c r="B78" t="s">
        <v>1677</v>
      </c>
      <c r="C78" t="s">
        <v>1678</v>
      </c>
    </row>
    <row r="79" spans="1:3" x14ac:dyDescent="0.25">
      <c r="A79" t="s">
        <v>750</v>
      </c>
      <c r="B79" t="s">
        <v>1679</v>
      </c>
      <c r="C79" t="s">
        <v>1680</v>
      </c>
    </row>
    <row r="80" spans="1:3" x14ac:dyDescent="0.25">
      <c r="A80" t="s">
        <v>750</v>
      </c>
      <c r="B80" t="s">
        <v>1681</v>
      </c>
      <c r="C80" t="s">
        <v>1682</v>
      </c>
    </row>
    <row r="81" spans="1:3" x14ac:dyDescent="0.25">
      <c r="A81" t="s">
        <v>750</v>
      </c>
      <c r="B81" t="s">
        <v>1683</v>
      </c>
      <c r="C81" t="s">
        <v>1684</v>
      </c>
    </row>
    <row r="82" spans="1:3" x14ac:dyDescent="0.25">
      <c r="A82" t="s">
        <v>750</v>
      </c>
      <c r="B82" t="s">
        <v>1685</v>
      </c>
      <c r="C82" t="s">
        <v>1686</v>
      </c>
    </row>
    <row r="83" spans="1:3" x14ac:dyDescent="0.25">
      <c r="A83" t="s">
        <v>750</v>
      </c>
      <c r="B83" t="s">
        <v>1687</v>
      </c>
      <c r="C83" t="s">
        <v>1688</v>
      </c>
    </row>
    <row r="84" spans="1:3" x14ac:dyDescent="0.25">
      <c r="A84" t="s">
        <v>750</v>
      </c>
      <c r="B84" t="s">
        <v>1689</v>
      </c>
      <c r="C84" t="s">
        <v>1690</v>
      </c>
    </row>
    <row r="85" spans="1:3" x14ac:dyDescent="0.25">
      <c r="A85" t="s">
        <v>750</v>
      </c>
      <c r="B85" t="s">
        <v>1691</v>
      </c>
      <c r="C85" t="s">
        <v>1692</v>
      </c>
    </row>
    <row r="86" spans="1:3" x14ac:dyDescent="0.25">
      <c r="A86" t="s">
        <v>750</v>
      </c>
      <c r="B86" t="s">
        <v>1693</v>
      </c>
      <c r="C86" t="s">
        <v>1694</v>
      </c>
    </row>
    <row r="87" spans="1:3" x14ac:dyDescent="0.25">
      <c r="A87" t="s">
        <v>750</v>
      </c>
      <c r="B87" t="s">
        <v>1695</v>
      </c>
      <c r="C87" t="s">
        <v>1696</v>
      </c>
    </row>
    <row r="88" spans="1:3" x14ac:dyDescent="0.25">
      <c r="A88" t="s">
        <v>750</v>
      </c>
      <c r="B88" t="s">
        <v>1697</v>
      </c>
      <c r="C88" t="s">
        <v>1698</v>
      </c>
    </row>
    <row r="89" spans="1:3" x14ac:dyDescent="0.25">
      <c r="A89" t="s">
        <v>750</v>
      </c>
      <c r="B89" t="s">
        <v>1545</v>
      </c>
      <c r="C89" t="s">
        <v>1546</v>
      </c>
    </row>
    <row r="90" spans="1:3" x14ac:dyDescent="0.25">
      <c r="A90" t="s">
        <v>750</v>
      </c>
      <c r="B90" t="s">
        <v>1699</v>
      </c>
      <c r="C90" t="s">
        <v>1700</v>
      </c>
    </row>
    <row r="91" spans="1:3" x14ac:dyDescent="0.25">
      <c r="A91" t="s">
        <v>750</v>
      </c>
      <c r="B91" t="s">
        <v>1701</v>
      </c>
      <c r="C91" t="s">
        <v>1702</v>
      </c>
    </row>
    <row r="92" spans="1:3" x14ac:dyDescent="0.25">
      <c r="A92" t="s">
        <v>750</v>
      </c>
      <c r="B92" t="s">
        <v>1703</v>
      </c>
      <c r="C92" t="s">
        <v>1704</v>
      </c>
    </row>
    <row r="93" spans="1:3" x14ac:dyDescent="0.25">
      <c r="A93" t="s">
        <v>750</v>
      </c>
      <c r="B93" t="s">
        <v>1705</v>
      </c>
      <c r="C93" t="s">
        <v>1706</v>
      </c>
    </row>
    <row r="94" spans="1:3" x14ac:dyDescent="0.25">
      <c r="A94" t="s">
        <v>750</v>
      </c>
      <c r="B94" t="s">
        <v>1707</v>
      </c>
      <c r="C94" t="s">
        <v>1708</v>
      </c>
    </row>
    <row r="95" spans="1:3" x14ac:dyDescent="0.25">
      <c r="A95" t="s">
        <v>750</v>
      </c>
      <c r="B95" t="s">
        <v>1709</v>
      </c>
      <c r="C95" t="s">
        <v>1710</v>
      </c>
    </row>
    <row r="96" spans="1:3" x14ac:dyDescent="0.25">
      <c r="A96" t="s">
        <v>750</v>
      </c>
      <c r="B96" t="s">
        <v>1711</v>
      </c>
      <c r="C96" t="s">
        <v>1712</v>
      </c>
    </row>
    <row r="97" spans="1:3" x14ac:dyDescent="0.25">
      <c r="A97" t="s">
        <v>750</v>
      </c>
      <c r="B97" t="s">
        <v>1713</v>
      </c>
      <c r="C97" t="s">
        <v>1714</v>
      </c>
    </row>
    <row r="98" spans="1:3" x14ac:dyDescent="0.25">
      <c r="A98" t="s">
        <v>750</v>
      </c>
      <c r="B98" t="s">
        <v>1715</v>
      </c>
      <c r="C98" t="s">
        <v>1716</v>
      </c>
    </row>
    <row r="99" spans="1:3" x14ac:dyDescent="0.25">
      <c r="A99" t="s">
        <v>750</v>
      </c>
      <c r="B99" t="s">
        <v>1717</v>
      </c>
      <c r="C99" t="s">
        <v>1718</v>
      </c>
    </row>
    <row r="100" spans="1:3" x14ac:dyDescent="0.25">
      <c r="A100" t="s">
        <v>750</v>
      </c>
      <c r="B100" t="s">
        <v>1719</v>
      </c>
      <c r="C100" t="s">
        <v>1720</v>
      </c>
    </row>
    <row r="101" spans="1:3" x14ac:dyDescent="0.25">
      <c r="A101" t="s">
        <v>750</v>
      </c>
      <c r="B101" t="s">
        <v>1721</v>
      </c>
      <c r="C101" t="s">
        <v>1722</v>
      </c>
    </row>
    <row r="102" spans="1:3" x14ac:dyDescent="0.25">
      <c r="A102" t="s">
        <v>750</v>
      </c>
      <c r="B102" t="s">
        <v>1723</v>
      </c>
      <c r="C102" t="s">
        <v>1724</v>
      </c>
    </row>
    <row r="103" spans="1:3" x14ac:dyDescent="0.25">
      <c r="A103" t="s">
        <v>750</v>
      </c>
      <c r="B103" t="s">
        <v>1725</v>
      </c>
      <c r="C103" t="s">
        <v>1726</v>
      </c>
    </row>
    <row r="104" spans="1:3" x14ac:dyDescent="0.25">
      <c r="A104" t="s">
        <v>750</v>
      </c>
      <c r="B104" t="s">
        <v>1727</v>
      </c>
      <c r="C104" t="s">
        <v>1728</v>
      </c>
    </row>
    <row r="105" spans="1:3" x14ac:dyDescent="0.25">
      <c r="A105" t="s">
        <v>750</v>
      </c>
      <c r="B105" t="s">
        <v>1729</v>
      </c>
      <c r="C105" t="s">
        <v>1730</v>
      </c>
    </row>
    <row r="106" spans="1:3" x14ac:dyDescent="0.25">
      <c r="A106" t="s">
        <v>750</v>
      </c>
      <c r="B106" t="s">
        <v>1731</v>
      </c>
      <c r="C106" t="s">
        <v>1732</v>
      </c>
    </row>
    <row r="107" spans="1:3" x14ac:dyDescent="0.25">
      <c r="A107" t="s">
        <v>750</v>
      </c>
      <c r="B107" t="s">
        <v>1733</v>
      </c>
      <c r="C107" t="s">
        <v>1734</v>
      </c>
    </row>
    <row r="108" spans="1:3" x14ac:dyDescent="0.25">
      <c r="A108" t="s">
        <v>750</v>
      </c>
      <c r="B108" t="s">
        <v>1735</v>
      </c>
      <c r="C108" t="s">
        <v>1736</v>
      </c>
    </row>
    <row r="109" spans="1:3" x14ac:dyDescent="0.25">
      <c r="A109" t="s">
        <v>750</v>
      </c>
      <c r="B109" t="s">
        <v>1541</v>
      </c>
      <c r="C109" t="s">
        <v>1542</v>
      </c>
    </row>
    <row r="110" spans="1:3" x14ac:dyDescent="0.25">
      <c r="A110" t="s">
        <v>750</v>
      </c>
      <c r="B110" t="s">
        <v>1737</v>
      </c>
      <c r="C110" t="s">
        <v>1738</v>
      </c>
    </row>
    <row r="111" spans="1:3" x14ac:dyDescent="0.25">
      <c r="A111" t="s">
        <v>750</v>
      </c>
      <c r="B111" t="s">
        <v>1739</v>
      </c>
      <c r="C111" t="s">
        <v>1740</v>
      </c>
    </row>
    <row r="112" spans="1:3" x14ac:dyDescent="0.25">
      <c r="A112" t="s">
        <v>750</v>
      </c>
      <c r="B112" t="s">
        <v>1741</v>
      </c>
      <c r="C112" t="s">
        <v>1742</v>
      </c>
    </row>
    <row r="113" spans="1:3" x14ac:dyDescent="0.25">
      <c r="A113" t="s">
        <v>750</v>
      </c>
      <c r="B113" t="s">
        <v>1743</v>
      </c>
      <c r="C113" t="s">
        <v>1744</v>
      </c>
    </row>
    <row r="114" spans="1:3" x14ac:dyDescent="0.25">
      <c r="A114" t="s">
        <v>750</v>
      </c>
      <c r="B114" t="s">
        <v>1745</v>
      </c>
      <c r="C114" t="s">
        <v>1746</v>
      </c>
    </row>
    <row r="115" spans="1:3" x14ac:dyDescent="0.25">
      <c r="A115" t="s">
        <v>750</v>
      </c>
      <c r="B115" t="s">
        <v>1747</v>
      </c>
      <c r="C115" t="s">
        <v>1748</v>
      </c>
    </row>
    <row r="116" spans="1:3" x14ac:dyDescent="0.25">
      <c r="A116" t="s">
        <v>750</v>
      </c>
      <c r="B116" t="s">
        <v>1749</v>
      </c>
      <c r="C116" t="s">
        <v>1750</v>
      </c>
    </row>
    <row r="117" spans="1:3" x14ac:dyDescent="0.25">
      <c r="A117" t="s">
        <v>750</v>
      </c>
      <c r="B117" t="s">
        <v>1751</v>
      </c>
      <c r="C117" t="s">
        <v>1752</v>
      </c>
    </row>
    <row r="118" spans="1:3" x14ac:dyDescent="0.25">
      <c r="A118" t="s">
        <v>750</v>
      </c>
      <c r="B118" t="s">
        <v>1753</v>
      </c>
      <c r="C118" t="s">
        <v>1754</v>
      </c>
    </row>
    <row r="119" spans="1:3" x14ac:dyDescent="0.25">
      <c r="A119" t="s">
        <v>750</v>
      </c>
      <c r="B119" t="s">
        <v>1755</v>
      </c>
      <c r="C119" t="s">
        <v>1756</v>
      </c>
    </row>
    <row r="120" spans="1:3" x14ac:dyDescent="0.25">
      <c r="A120" t="s">
        <v>750</v>
      </c>
      <c r="B120" t="s">
        <v>1757</v>
      </c>
      <c r="C120" t="s">
        <v>1758</v>
      </c>
    </row>
    <row r="121" spans="1:3" x14ac:dyDescent="0.25">
      <c r="A121" t="s">
        <v>750</v>
      </c>
      <c r="B121" t="s">
        <v>1759</v>
      </c>
      <c r="C121" t="s">
        <v>1760</v>
      </c>
    </row>
    <row r="122" spans="1:3" x14ac:dyDescent="0.25">
      <c r="A122" t="s">
        <v>750</v>
      </c>
      <c r="B122" t="s">
        <v>1547</v>
      </c>
      <c r="C122" t="s">
        <v>1548</v>
      </c>
    </row>
    <row r="123" spans="1:3" x14ac:dyDescent="0.25">
      <c r="A123" t="s">
        <v>750</v>
      </c>
      <c r="B123" t="s">
        <v>1761</v>
      </c>
      <c r="C123" t="s">
        <v>1762</v>
      </c>
    </row>
    <row r="124" spans="1:3" x14ac:dyDescent="0.25">
      <c r="A124" t="s">
        <v>750</v>
      </c>
      <c r="B124" t="s">
        <v>1763</v>
      </c>
      <c r="C124" t="s">
        <v>1764</v>
      </c>
    </row>
    <row r="125" spans="1:3" x14ac:dyDescent="0.25">
      <c r="A125" t="s">
        <v>750</v>
      </c>
      <c r="B125" t="s">
        <v>1765</v>
      </c>
      <c r="C125" t="s">
        <v>1766</v>
      </c>
    </row>
    <row r="126" spans="1:3" x14ac:dyDescent="0.25">
      <c r="A126" t="s">
        <v>750</v>
      </c>
      <c r="B126" t="s">
        <v>1767</v>
      </c>
      <c r="C126" t="s">
        <v>1768</v>
      </c>
    </row>
    <row r="127" spans="1:3" x14ac:dyDescent="0.25">
      <c r="A127" t="s">
        <v>750</v>
      </c>
      <c r="B127" t="s">
        <v>1769</v>
      </c>
      <c r="C127" t="s">
        <v>1770</v>
      </c>
    </row>
    <row r="128" spans="1:3" x14ac:dyDescent="0.25">
      <c r="A128" t="s">
        <v>750</v>
      </c>
      <c r="B128" t="s">
        <v>1771</v>
      </c>
      <c r="C128" t="s">
        <v>1772</v>
      </c>
    </row>
    <row r="129" spans="1:3" x14ac:dyDescent="0.25">
      <c r="A129" t="s">
        <v>750</v>
      </c>
      <c r="B129" t="s">
        <v>1773</v>
      </c>
      <c r="C129" t="s">
        <v>1774</v>
      </c>
    </row>
    <row r="130" spans="1:3" x14ac:dyDescent="0.25">
      <c r="A130" t="s">
        <v>750</v>
      </c>
      <c r="B130" t="s">
        <v>1775</v>
      </c>
      <c r="C130" t="s">
        <v>1776</v>
      </c>
    </row>
    <row r="131" spans="1:3" x14ac:dyDescent="0.25">
      <c r="A131" t="s">
        <v>750</v>
      </c>
      <c r="B131" t="s">
        <v>1777</v>
      </c>
      <c r="C131" t="s">
        <v>1778</v>
      </c>
    </row>
    <row r="132" spans="1:3" x14ac:dyDescent="0.25">
      <c r="A132" t="s">
        <v>750</v>
      </c>
      <c r="B132" t="s">
        <v>1779</v>
      </c>
      <c r="C132" t="s">
        <v>1780</v>
      </c>
    </row>
    <row r="133" spans="1:3" x14ac:dyDescent="0.25">
      <c r="A133" t="s">
        <v>750</v>
      </c>
      <c r="B133" t="s">
        <v>1539</v>
      </c>
      <c r="C133" t="s">
        <v>1540</v>
      </c>
    </row>
    <row r="134" spans="1:3" x14ac:dyDescent="0.25">
      <c r="A134" t="s">
        <v>750</v>
      </c>
      <c r="B134" t="s">
        <v>1781</v>
      </c>
      <c r="C134" t="s">
        <v>1782</v>
      </c>
    </row>
    <row r="135" spans="1:3" x14ac:dyDescent="0.25">
      <c r="A135" t="s">
        <v>750</v>
      </c>
      <c r="B135" t="s">
        <v>1783</v>
      </c>
      <c r="C135" t="s">
        <v>1784</v>
      </c>
    </row>
    <row r="136" spans="1:3" x14ac:dyDescent="0.25">
      <c r="A136" t="s">
        <v>750</v>
      </c>
      <c r="B136" t="s">
        <v>1785</v>
      </c>
      <c r="C136" t="s">
        <v>1786</v>
      </c>
    </row>
    <row r="138" spans="1:3" x14ac:dyDescent="0.25">
      <c r="A138" t="s">
        <v>1787</v>
      </c>
      <c r="B138" t="s">
        <v>1788</v>
      </c>
      <c r="C138" t="s">
        <v>2130</v>
      </c>
    </row>
    <row r="139" spans="1:3" x14ac:dyDescent="0.25">
      <c r="A139" t="s">
        <v>1787</v>
      </c>
      <c r="B139" t="s">
        <v>1789</v>
      </c>
      <c r="C139" t="s">
        <v>2131</v>
      </c>
    </row>
    <row r="140" spans="1:3" x14ac:dyDescent="0.25">
      <c r="A140" t="s">
        <v>1787</v>
      </c>
      <c r="B140" t="s">
        <v>1790</v>
      </c>
      <c r="C140" t="s">
        <v>2132</v>
      </c>
    </row>
    <row r="141" spans="1:3" x14ac:dyDescent="0.25">
      <c r="A141" t="s">
        <v>1787</v>
      </c>
      <c r="B141" t="s">
        <v>1791</v>
      </c>
      <c r="C141" t="s">
        <v>2133</v>
      </c>
    </row>
    <row r="142" spans="1:3" x14ac:dyDescent="0.25">
      <c r="A142" t="s">
        <v>1787</v>
      </c>
      <c r="B142" t="s">
        <v>1792</v>
      </c>
      <c r="C142" t="s">
        <v>2134</v>
      </c>
    </row>
    <row r="143" spans="1:3" x14ac:dyDescent="0.25">
      <c r="A143" t="s">
        <v>1787</v>
      </c>
      <c r="B143" t="s">
        <v>1793</v>
      </c>
      <c r="C143" t="s">
        <v>2135</v>
      </c>
    </row>
    <row r="144" spans="1:3" x14ac:dyDescent="0.25">
      <c r="A144" t="s">
        <v>1787</v>
      </c>
      <c r="B144" t="s">
        <v>1407</v>
      </c>
      <c r="C144" t="s">
        <v>2136</v>
      </c>
    </row>
    <row r="145" spans="1:3" x14ac:dyDescent="0.25">
      <c r="A145" t="s">
        <v>1787</v>
      </c>
      <c r="B145" t="s">
        <v>1794</v>
      </c>
      <c r="C145" t="s">
        <v>2137</v>
      </c>
    </row>
    <row r="146" spans="1:3" x14ac:dyDescent="0.25">
      <c r="A146" t="s">
        <v>1787</v>
      </c>
      <c r="B146" t="s">
        <v>1795</v>
      </c>
      <c r="C146" t="s">
        <v>2138</v>
      </c>
    </row>
    <row r="147" spans="1:3" x14ac:dyDescent="0.25">
      <c r="A147" t="s">
        <v>1787</v>
      </c>
      <c r="B147" t="s">
        <v>1796</v>
      </c>
      <c r="C147" t="s">
        <v>1797</v>
      </c>
    </row>
    <row r="148" spans="1:3" x14ac:dyDescent="0.25">
      <c r="A148" t="s">
        <v>1787</v>
      </c>
      <c r="B148" t="s">
        <v>1798</v>
      </c>
      <c r="C148" t="s">
        <v>1799</v>
      </c>
    </row>
    <row r="149" spans="1:3" x14ac:dyDescent="0.25">
      <c r="A149" t="s">
        <v>1787</v>
      </c>
      <c r="B149" t="s">
        <v>1800</v>
      </c>
      <c r="C149" t="s">
        <v>1801</v>
      </c>
    </row>
    <row r="150" spans="1:3" x14ac:dyDescent="0.25">
      <c r="A150" t="s">
        <v>1787</v>
      </c>
      <c r="B150" t="s">
        <v>1802</v>
      </c>
      <c r="C150" t="s">
        <v>1803</v>
      </c>
    </row>
    <row r="151" spans="1:3" x14ac:dyDescent="0.25">
      <c r="A151" t="s">
        <v>1787</v>
      </c>
      <c r="B151" t="s">
        <v>1804</v>
      </c>
      <c r="C151" t="s">
        <v>1805</v>
      </c>
    </row>
    <row r="153" spans="1:3" x14ac:dyDescent="0.25">
      <c r="A153" t="s">
        <v>1811</v>
      </c>
      <c r="B153" t="s">
        <v>1812</v>
      </c>
      <c r="C153" t="s">
        <v>1813</v>
      </c>
    </row>
    <row r="154" spans="1:3" x14ac:dyDescent="0.25">
      <c r="A154" t="s">
        <v>1811</v>
      </c>
      <c r="B154" t="s">
        <v>1814</v>
      </c>
      <c r="C154" t="s">
        <v>1815</v>
      </c>
    </row>
    <row r="155" spans="1:3" x14ac:dyDescent="0.25">
      <c r="A155" t="s">
        <v>1811</v>
      </c>
      <c r="B155" t="s">
        <v>1816</v>
      </c>
      <c r="C155" t="s">
        <v>1817</v>
      </c>
    </row>
    <row r="156" spans="1:3" x14ac:dyDescent="0.25">
      <c r="A156" t="s">
        <v>1811</v>
      </c>
      <c r="B156" t="s">
        <v>1820</v>
      </c>
      <c r="C156" t="s">
        <v>1821</v>
      </c>
    </row>
    <row r="157" spans="1:3" x14ac:dyDescent="0.25">
      <c r="A157" t="s">
        <v>1811</v>
      </c>
      <c r="B157" t="s">
        <v>1822</v>
      </c>
      <c r="C157" t="s">
        <v>1823</v>
      </c>
    </row>
    <row r="158" spans="1:3" x14ac:dyDescent="0.25">
      <c r="A158" t="s">
        <v>1811</v>
      </c>
      <c r="B158" t="s">
        <v>1826</v>
      </c>
      <c r="C158" t="s">
        <v>1827</v>
      </c>
    </row>
    <row r="159" spans="1:3" x14ac:dyDescent="0.25">
      <c r="A159" t="s">
        <v>1811</v>
      </c>
      <c r="B159" t="s">
        <v>1828</v>
      </c>
      <c r="C159" t="s">
        <v>1829</v>
      </c>
    </row>
    <row r="160" spans="1:3" x14ac:dyDescent="0.25">
      <c r="A160" t="s">
        <v>1811</v>
      </c>
      <c r="B160" t="s">
        <v>1830</v>
      </c>
      <c r="C160" t="s">
        <v>1831</v>
      </c>
    </row>
    <row r="161" spans="1:3" x14ac:dyDescent="0.25">
      <c r="A161" t="s">
        <v>1811</v>
      </c>
      <c r="B161" t="s">
        <v>1832</v>
      </c>
      <c r="C161" t="s">
        <v>1833</v>
      </c>
    </row>
    <row r="162" spans="1:3" x14ac:dyDescent="0.25">
      <c r="A162" t="s">
        <v>1811</v>
      </c>
      <c r="B162" t="s">
        <v>1834</v>
      </c>
      <c r="C162" t="s">
        <v>1835</v>
      </c>
    </row>
    <row r="163" spans="1:3" x14ac:dyDescent="0.25">
      <c r="A163" t="s">
        <v>1811</v>
      </c>
      <c r="B163" t="s">
        <v>1836</v>
      </c>
      <c r="C163" t="s">
        <v>1837</v>
      </c>
    </row>
    <row r="164" spans="1:3" x14ac:dyDescent="0.25">
      <c r="A164" t="s">
        <v>1811</v>
      </c>
      <c r="B164" t="s">
        <v>1838</v>
      </c>
      <c r="C164" t="s">
        <v>1839</v>
      </c>
    </row>
    <row r="165" spans="1:3" x14ac:dyDescent="0.25">
      <c r="A165" t="s">
        <v>1811</v>
      </c>
      <c r="B165" t="s">
        <v>1840</v>
      </c>
      <c r="C165" t="s">
        <v>1841</v>
      </c>
    </row>
    <row r="166" spans="1:3" x14ac:dyDescent="0.25">
      <c r="A166" t="s">
        <v>1811</v>
      </c>
      <c r="B166" t="s">
        <v>1842</v>
      </c>
      <c r="C166" t="s">
        <v>1843</v>
      </c>
    </row>
    <row r="167" spans="1:3" x14ac:dyDescent="0.25">
      <c r="A167" t="s">
        <v>1811</v>
      </c>
      <c r="B167" t="s">
        <v>1844</v>
      </c>
      <c r="C167" t="s">
        <v>1845</v>
      </c>
    </row>
    <row r="168" spans="1:3" x14ac:dyDescent="0.25">
      <c r="A168" t="s">
        <v>1811</v>
      </c>
      <c r="B168" t="s">
        <v>1846</v>
      </c>
      <c r="C168" t="s">
        <v>1847</v>
      </c>
    </row>
    <row r="169" spans="1:3" x14ac:dyDescent="0.25">
      <c r="A169" t="s">
        <v>1811</v>
      </c>
      <c r="B169" t="s">
        <v>1848</v>
      </c>
      <c r="C169" t="s">
        <v>1849</v>
      </c>
    </row>
    <row r="170" spans="1:3" x14ac:dyDescent="0.25">
      <c r="A170" t="s">
        <v>1811</v>
      </c>
      <c r="B170" t="s">
        <v>1850</v>
      </c>
      <c r="C170" t="s">
        <v>1851</v>
      </c>
    </row>
    <row r="171" spans="1:3" x14ac:dyDescent="0.25">
      <c r="A171" t="s">
        <v>1811</v>
      </c>
      <c r="B171" t="s">
        <v>1852</v>
      </c>
      <c r="C171" t="s">
        <v>1853</v>
      </c>
    </row>
    <row r="172" spans="1:3" x14ac:dyDescent="0.25">
      <c r="A172" t="s">
        <v>1811</v>
      </c>
      <c r="B172" t="s">
        <v>1854</v>
      </c>
      <c r="C172" t="s">
        <v>1855</v>
      </c>
    </row>
    <row r="173" spans="1:3" x14ac:dyDescent="0.25">
      <c r="A173" t="s">
        <v>1811</v>
      </c>
      <c r="B173" t="s">
        <v>1856</v>
      </c>
      <c r="C173" t="s">
        <v>1857</v>
      </c>
    </row>
    <row r="174" spans="1:3" x14ac:dyDescent="0.25">
      <c r="A174" t="s">
        <v>1811</v>
      </c>
      <c r="B174" t="s">
        <v>1858</v>
      </c>
      <c r="C174" t="s">
        <v>1859</v>
      </c>
    </row>
    <row r="175" spans="1:3" x14ac:dyDescent="0.25">
      <c r="A175" t="s">
        <v>1811</v>
      </c>
      <c r="B175" t="s">
        <v>1860</v>
      </c>
      <c r="C175" t="s">
        <v>1861</v>
      </c>
    </row>
    <row r="176" spans="1:3" x14ac:dyDescent="0.25">
      <c r="A176" t="s">
        <v>1811</v>
      </c>
      <c r="B176" t="s">
        <v>1862</v>
      </c>
      <c r="C176" t="s">
        <v>1863</v>
      </c>
    </row>
    <row r="177" spans="1:3" x14ac:dyDescent="0.25">
      <c r="A177" t="s">
        <v>1811</v>
      </c>
      <c r="B177" t="s">
        <v>1864</v>
      </c>
      <c r="C177" t="s">
        <v>1865</v>
      </c>
    </row>
    <row r="178" spans="1:3" x14ac:dyDescent="0.25">
      <c r="A178" t="s">
        <v>1811</v>
      </c>
      <c r="B178" t="s">
        <v>1866</v>
      </c>
      <c r="C178" t="s">
        <v>1867</v>
      </c>
    </row>
    <row r="179" spans="1:3" x14ac:dyDescent="0.25">
      <c r="A179" t="s">
        <v>1811</v>
      </c>
      <c r="B179" t="s">
        <v>1868</v>
      </c>
      <c r="C179" t="s">
        <v>1869</v>
      </c>
    </row>
    <row r="180" spans="1:3" x14ac:dyDescent="0.25">
      <c r="A180" t="s">
        <v>1811</v>
      </c>
      <c r="B180" t="s">
        <v>1870</v>
      </c>
      <c r="C180" t="s">
        <v>1871</v>
      </c>
    </row>
    <row r="181" spans="1:3" x14ac:dyDescent="0.25">
      <c r="A181" t="s">
        <v>1811</v>
      </c>
      <c r="B181" t="s">
        <v>1872</v>
      </c>
      <c r="C181" t="s">
        <v>1873</v>
      </c>
    </row>
    <row r="182" spans="1:3" x14ac:dyDescent="0.25">
      <c r="A182" t="s">
        <v>1811</v>
      </c>
      <c r="B182" t="s">
        <v>1874</v>
      </c>
      <c r="C182" t="s">
        <v>1875</v>
      </c>
    </row>
    <row r="183" spans="1:3" x14ac:dyDescent="0.25">
      <c r="A183" t="s">
        <v>1811</v>
      </c>
      <c r="B183" t="s">
        <v>1876</v>
      </c>
      <c r="C183" t="s">
        <v>1877</v>
      </c>
    </row>
    <row r="184" spans="1:3" x14ac:dyDescent="0.25">
      <c r="A184" t="s">
        <v>1811</v>
      </c>
      <c r="B184" t="s">
        <v>1878</v>
      </c>
      <c r="C184" t="s">
        <v>1879</v>
      </c>
    </row>
    <row r="185" spans="1:3" x14ac:dyDescent="0.25">
      <c r="A185" t="s">
        <v>1811</v>
      </c>
      <c r="B185" t="s">
        <v>1880</v>
      </c>
      <c r="C185" t="s">
        <v>1881</v>
      </c>
    </row>
    <row r="186" spans="1:3" x14ac:dyDescent="0.25">
      <c r="A186" t="s">
        <v>1811</v>
      </c>
      <c r="B186" t="s">
        <v>1882</v>
      </c>
      <c r="C186" t="s">
        <v>1883</v>
      </c>
    </row>
    <row r="187" spans="1:3" x14ac:dyDescent="0.25">
      <c r="A187" t="s">
        <v>1811</v>
      </c>
      <c r="B187" t="s">
        <v>1884</v>
      </c>
      <c r="C187" t="s">
        <v>1885</v>
      </c>
    </row>
    <row r="188" spans="1:3" x14ac:dyDescent="0.25">
      <c r="A188" t="s">
        <v>1811</v>
      </c>
      <c r="B188" t="s">
        <v>1886</v>
      </c>
      <c r="C188" t="s">
        <v>1887</v>
      </c>
    </row>
    <row r="189" spans="1:3" x14ac:dyDescent="0.25">
      <c r="A189" t="s">
        <v>1811</v>
      </c>
      <c r="B189" t="s">
        <v>1888</v>
      </c>
      <c r="C189" t="s">
        <v>1889</v>
      </c>
    </row>
    <row r="190" spans="1:3" x14ac:dyDescent="0.25">
      <c r="A190" t="s">
        <v>1811</v>
      </c>
      <c r="B190" t="s">
        <v>1890</v>
      </c>
      <c r="C190" t="s">
        <v>1891</v>
      </c>
    </row>
    <row r="191" spans="1:3" x14ac:dyDescent="0.25">
      <c r="A191" t="s">
        <v>1811</v>
      </c>
      <c r="B191" t="s">
        <v>1892</v>
      </c>
      <c r="C191" t="s">
        <v>1881</v>
      </c>
    </row>
    <row r="192" spans="1:3" x14ac:dyDescent="0.25">
      <c r="A192" t="s">
        <v>1811</v>
      </c>
      <c r="B192" t="s">
        <v>1893</v>
      </c>
      <c r="C192" t="s">
        <v>1894</v>
      </c>
    </row>
    <row r="193" spans="1:3" x14ac:dyDescent="0.25">
      <c r="A193" t="s">
        <v>1811</v>
      </c>
      <c r="B193" t="s">
        <v>1895</v>
      </c>
      <c r="C193" t="s">
        <v>1896</v>
      </c>
    </row>
    <row r="194" spans="1:3" x14ac:dyDescent="0.25">
      <c r="A194" t="s">
        <v>1811</v>
      </c>
      <c r="B194" t="s">
        <v>1897</v>
      </c>
      <c r="C194" t="s">
        <v>1898</v>
      </c>
    </row>
    <row r="195" spans="1:3" x14ac:dyDescent="0.25">
      <c r="A195" t="s">
        <v>1811</v>
      </c>
      <c r="B195" t="s">
        <v>1899</v>
      </c>
      <c r="C195" t="s">
        <v>1900</v>
      </c>
    </row>
    <row r="196" spans="1:3" x14ac:dyDescent="0.25">
      <c r="A196" t="s">
        <v>1811</v>
      </c>
      <c r="B196" t="s">
        <v>1901</v>
      </c>
      <c r="C196" t="s">
        <v>1902</v>
      </c>
    </row>
    <row r="197" spans="1:3" x14ac:dyDescent="0.25">
      <c r="A197" t="s">
        <v>1811</v>
      </c>
      <c r="B197" t="s">
        <v>1903</v>
      </c>
      <c r="C197" t="s">
        <v>1904</v>
      </c>
    </row>
    <row r="198" spans="1:3" x14ac:dyDescent="0.25">
      <c r="A198" t="s">
        <v>1811</v>
      </c>
      <c r="B198" t="s">
        <v>1905</v>
      </c>
      <c r="C198" t="s">
        <v>1906</v>
      </c>
    </row>
    <row r="199" spans="1:3" x14ac:dyDescent="0.25">
      <c r="A199" t="s">
        <v>1811</v>
      </c>
      <c r="B199" t="s">
        <v>1907</v>
      </c>
      <c r="C199" t="s">
        <v>1908</v>
      </c>
    </row>
    <row r="200" spans="1:3" x14ac:dyDescent="0.25">
      <c r="A200" t="s">
        <v>1811</v>
      </c>
      <c r="B200" t="s">
        <v>1909</v>
      </c>
      <c r="C200" t="s">
        <v>1910</v>
      </c>
    </row>
    <row r="201" spans="1:3" x14ac:dyDescent="0.25">
      <c r="A201" t="s">
        <v>1811</v>
      </c>
      <c r="B201" t="s">
        <v>1911</v>
      </c>
      <c r="C201" t="s">
        <v>1912</v>
      </c>
    </row>
    <row r="202" spans="1:3" x14ac:dyDescent="0.25">
      <c r="A202" t="s">
        <v>1811</v>
      </c>
      <c r="B202" t="s">
        <v>1913</v>
      </c>
      <c r="C202" t="s">
        <v>1914</v>
      </c>
    </row>
    <row r="203" spans="1:3" x14ac:dyDescent="0.25">
      <c r="A203" t="s">
        <v>1811</v>
      </c>
      <c r="B203" t="s">
        <v>1915</v>
      </c>
      <c r="C203" t="s">
        <v>1916</v>
      </c>
    </row>
    <row r="204" spans="1:3" x14ac:dyDescent="0.25">
      <c r="A204" t="s">
        <v>1811</v>
      </c>
      <c r="B204" t="s">
        <v>1917</v>
      </c>
      <c r="C204" t="s">
        <v>1918</v>
      </c>
    </row>
    <row r="205" spans="1:3" x14ac:dyDescent="0.25">
      <c r="A205" t="s">
        <v>1811</v>
      </c>
      <c r="B205" t="s">
        <v>1919</v>
      </c>
      <c r="C205" t="s">
        <v>1920</v>
      </c>
    </row>
    <row r="206" spans="1:3" x14ac:dyDescent="0.25">
      <c r="A206" t="s">
        <v>1811</v>
      </c>
      <c r="B206" t="s">
        <v>1921</v>
      </c>
      <c r="C206" t="s">
        <v>1922</v>
      </c>
    </row>
    <row r="207" spans="1:3" x14ac:dyDescent="0.25">
      <c r="A207" t="s">
        <v>1811</v>
      </c>
      <c r="B207" t="s">
        <v>1923</v>
      </c>
      <c r="C207" t="s">
        <v>1924</v>
      </c>
    </row>
    <row r="208" spans="1:3" x14ac:dyDescent="0.25">
      <c r="A208" t="s">
        <v>1811</v>
      </c>
      <c r="B208" t="s">
        <v>1925</v>
      </c>
      <c r="C208" t="s">
        <v>1926</v>
      </c>
    </row>
    <row r="209" spans="1:3" x14ac:dyDescent="0.25">
      <c r="A209" t="s">
        <v>1811</v>
      </c>
      <c r="B209" t="s">
        <v>1927</v>
      </c>
      <c r="C209" t="s">
        <v>1928</v>
      </c>
    </row>
    <row r="210" spans="1:3" x14ac:dyDescent="0.25">
      <c r="A210" t="s">
        <v>1811</v>
      </c>
      <c r="B210" t="s">
        <v>1929</v>
      </c>
      <c r="C210" t="s">
        <v>1930</v>
      </c>
    </row>
    <row r="211" spans="1:3" x14ac:dyDescent="0.25">
      <c r="A211" t="s">
        <v>1811</v>
      </c>
      <c r="B211" t="s">
        <v>1931</v>
      </c>
      <c r="C211" t="s">
        <v>1932</v>
      </c>
    </row>
    <row r="212" spans="1:3" x14ac:dyDescent="0.25">
      <c r="A212" t="s">
        <v>1811</v>
      </c>
      <c r="B212" t="s">
        <v>1933</v>
      </c>
      <c r="C212" t="s">
        <v>1934</v>
      </c>
    </row>
    <row r="213" spans="1:3" x14ac:dyDescent="0.25">
      <c r="A213" t="s">
        <v>1811</v>
      </c>
      <c r="B213" t="s">
        <v>1935</v>
      </c>
      <c r="C213" t="s">
        <v>1936</v>
      </c>
    </row>
    <row r="214" spans="1:3" x14ac:dyDescent="0.25">
      <c r="A214" t="s">
        <v>1811</v>
      </c>
      <c r="B214" t="s">
        <v>1937</v>
      </c>
      <c r="C214" t="s">
        <v>1938</v>
      </c>
    </row>
    <row r="215" spans="1:3" x14ac:dyDescent="0.25">
      <c r="A215" t="s">
        <v>1811</v>
      </c>
      <c r="B215" t="s">
        <v>1939</v>
      </c>
      <c r="C215" t="s">
        <v>1940</v>
      </c>
    </row>
    <row r="216" spans="1:3" x14ac:dyDescent="0.25">
      <c r="A216" t="s">
        <v>1811</v>
      </c>
      <c r="B216" t="s">
        <v>1941</v>
      </c>
      <c r="C216" t="s">
        <v>1942</v>
      </c>
    </row>
    <row r="217" spans="1:3" x14ac:dyDescent="0.25">
      <c r="A217" t="s">
        <v>1811</v>
      </c>
      <c r="B217" t="s">
        <v>1943</v>
      </c>
      <c r="C217" t="s">
        <v>1944</v>
      </c>
    </row>
    <row r="218" spans="1:3" x14ac:dyDescent="0.25">
      <c r="A218" t="s">
        <v>1811</v>
      </c>
      <c r="B218" t="s">
        <v>1945</v>
      </c>
      <c r="C218" t="s">
        <v>1946</v>
      </c>
    </row>
    <row r="219" spans="1:3" x14ac:dyDescent="0.25">
      <c r="A219" t="s">
        <v>1811</v>
      </c>
      <c r="B219" t="s">
        <v>1947</v>
      </c>
      <c r="C219" t="s">
        <v>1948</v>
      </c>
    </row>
    <row r="220" spans="1:3" x14ac:dyDescent="0.25">
      <c r="A220" t="s">
        <v>1811</v>
      </c>
      <c r="B220" t="s">
        <v>1949</v>
      </c>
      <c r="C220" t="s">
        <v>1950</v>
      </c>
    </row>
    <row r="221" spans="1:3" x14ac:dyDescent="0.25">
      <c r="A221" t="s">
        <v>1811</v>
      </c>
      <c r="B221" t="s">
        <v>1951</v>
      </c>
      <c r="C221" t="s">
        <v>1952</v>
      </c>
    </row>
    <row r="222" spans="1:3" x14ac:dyDescent="0.25">
      <c r="A222" t="s">
        <v>1811</v>
      </c>
      <c r="B222" t="s">
        <v>1953</v>
      </c>
      <c r="C222" t="s">
        <v>1954</v>
      </c>
    </row>
    <row r="223" spans="1:3" x14ac:dyDescent="0.25">
      <c r="A223" t="s">
        <v>1811</v>
      </c>
      <c r="B223" t="s">
        <v>1955</v>
      </c>
      <c r="C223" t="s">
        <v>1956</v>
      </c>
    </row>
    <row r="224" spans="1:3" x14ac:dyDescent="0.25">
      <c r="A224" t="s">
        <v>1811</v>
      </c>
      <c r="B224" t="s">
        <v>1957</v>
      </c>
      <c r="C224" t="s">
        <v>1958</v>
      </c>
    </row>
    <row r="225" spans="1:5" x14ac:dyDescent="0.25">
      <c r="A225" t="s">
        <v>1811</v>
      </c>
      <c r="B225" t="s">
        <v>1959</v>
      </c>
      <c r="C225" t="s">
        <v>1960</v>
      </c>
    </row>
    <row r="226" spans="1:5" x14ac:dyDescent="0.25">
      <c r="A226" t="s">
        <v>1811</v>
      </c>
      <c r="B226" t="s">
        <v>1961</v>
      </c>
      <c r="C226" t="s">
        <v>1962</v>
      </c>
    </row>
    <row r="227" spans="1:5" x14ac:dyDescent="0.25">
      <c r="A227" t="s">
        <v>1811</v>
      </c>
      <c r="B227" t="s">
        <v>1963</v>
      </c>
      <c r="C227" t="s">
        <v>1964</v>
      </c>
    </row>
    <row r="228" spans="1:5" x14ac:dyDescent="0.25">
      <c r="A228" t="s">
        <v>1811</v>
      </c>
      <c r="B228" t="s">
        <v>1965</v>
      </c>
      <c r="C228" t="s">
        <v>1966</v>
      </c>
    </row>
    <row r="229" spans="1:5" x14ac:dyDescent="0.25">
      <c r="A229" t="s">
        <v>1811</v>
      </c>
      <c r="B229" t="s">
        <v>1967</v>
      </c>
      <c r="C229" t="s">
        <v>1968</v>
      </c>
    </row>
    <row r="230" spans="1:5" x14ac:dyDescent="0.25">
      <c r="A230" t="s">
        <v>1811</v>
      </c>
      <c r="B230" t="s">
        <v>1969</v>
      </c>
      <c r="C230" t="s">
        <v>1970</v>
      </c>
    </row>
    <row r="231" spans="1:5" x14ac:dyDescent="0.25">
      <c r="A231" t="s">
        <v>1811</v>
      </c>
      <c r="B231" t="s">
        <v>1971</v>
      </c>
      <c r="C231" t="s">
        <v>1972</v>
      </c>
    </row>
    <row r="232" spans="1:5" x14ac:dyDescent="0.25">
      <c r="A232" t="s">
        <v>1811</v>
      </c>
      <c r="B232" t="s">
        <v>1973</v>
      </c>
      <c r="C232" t="s">
        <v>1974</v>
      </c>
    </row>
    <row r="233" spans="1:5" x14ac:dyDescent="0.25">
      <c r="A233" t="s">
        <v>1811</v>
      </c>
      <c r="B233" t="s">
        <v>1975</v>
      </c>
      <c r="C233" t="s">
        <v>1976</v>
      </c>
    </row>
    <row r="234" spans="1:5" x14ac:dyDescent="0.25">
      <c r="A234" t="s">
        <v>1811</v>
      </c>
      <c r="B234" t="s">
        <v>1977</v>
      </c>
      <c r="C234" t="s">
        <v>1978</v>
      </c>
    </row>
    <row r="236" spans="1:5" x14ac:dyDescent="0.25">
      <c r="A236" t="s">
        <v>61</v>
      </c>
      <c r="B236" s="45">
        <v>112</v>
      </c>
      <c r="C236" s="45" t="s">
        <v>1528</v>
      </c>
      <c r="D236" s="45"/>
      <c r="E236" s="45">
        <v>22</v>
      </c>
    </row>
    <row r="237" spans="1:5" x14ac:dyDescent="0.25">
      <c r="A237" t="s">
        <v>61</v>
      </c>
      <c r="B237" s="45">
        <v>111</v>
      </c>
      <c r="C237" s="45" t="s">
        <v>1530</v>
      </c>
      <c r="D237" s="45"/>
      <c r="E237" s="45">
        <v>22</v>
      </c>
    </row>
    <row r="238" spans="1:5" x14ac:dyDescent="0.25">
      <c r="A238" t="s">
        <v>61</v>
      </c>
      <c r="B238" s="45">
        <v>116</v>
      </c>
      <c r="C238" s="45" t="s">
        <v>2139</v>
      </c>
      <c r="D238" s="45"/>
      <c r="E238" s="45">
        <v>22</v>
      </c>
    </row>
    <row r="239" spans="1:5" x14ac:dyDescent="0.25">
      <c r="A239" t="s">
        <v>61</v>
      </c>
      <c r="B239" s="45">
        <v>113</v>
      </c>
      <c r="C239" s="45" t="s">
        <v>2140</v>
      </c>
      <c r="D239" s="45"/>
      <c r="E239" s="45">
        <v>22</v>
      </c>
    </row>
    <row r="240" spans="1:5" x14ac:dyDescent="0.25">
      <c r="A240" t="s">
        <v>61</v>
      </c>
      <c r="B240" s="45">
        <v>119</v>
      </c>
      <c r="C240" s="45" t="s">
        <v>2141</v>
      </c>
      <c r="D240" s="45"/>
      <c r="E240" s="45">
        <v>22</v>
      </c>
    </row>
    <row r="241" spans="1:5" x14ac:dyDescent="0.25">
      <c r="A241" t="s">
        <v>61</v>
      </c>
      <c r="B241" s="45">
        <v>184</v>
      </c>
      <c r="C241" s="45" t="s">
        <v>2142</v>
      </c>
      <c r="D241" s="45"/>
      <c r="E241" s="45">
        <v>34</v>
      </c>
    </row>
    <row r="242" spans="1:5" x14ac:dyDescent="0.25">
      <c r="A242" t="s">
        <v>61</v>
      </c>
      <c r="B242" s="45">
        <v>185</v>
      </c>
      <c r="C242" s="45" t="s">
        <v>2143</v>
      </c>
      <c r="D242" s="45"/>
      <c r="E242" s="45">
        <v>34</v>
      </c>
    </row>
    <row r="243" spans="1:5" x14ac:dyDescent="0.25">
      <c r="A243" t="s">
        <v>61</v>
      </c>
      <c r="B243" s="45">
        <v>183</v>
      </c>
      <c r="C243" s="45" t="s">
        <v>2144</v>
      </c>
      <c r="D243" s="45"/>
      <c r="E243" s="45">
        <v>34</v>
      </c>
    </row>
    <row r="244" spans="1:5" x14ac:dyDescent="0.25">
      <c r="A244" t="s">
        <v>61</v>
      </c>
      <c r="B244" s="45">
        <v>187</v>
      </c>
      <c r="C244" s="45" t="s">
        <v>2145</v>
      </c>
      <c r="D244" s="45"/>
      <c r="E244" s="45">
        <v>34</v>
      </c>
    </row>
    <row r="245" spans="1:5" x14ac:dyDescent="0.25">
      <c r="A245" t="s">
        <v>61</v>
      </c>
      <c r="B245" s="45">
        <v>186</v>
      </c>
      <c r="C245" s="45" t="s">
        <v>2146</v>
      </c>
      <c r="D245" s="45"/>
      <c r="E245" s="45">
        <v>34</v>
      </c>
    </row>
    <row r="246" spans="1:5" x14ac:dyDescent="0.25">
      <c r="A246" t="s">
        <v>61</v>
      </c>
      <c r="B246" s="45" t="s">
        <v>2147</v>
      </c>
      <c r="C246" s="45" t="s">
        <v>2148</v>
      </c>
      <c r="D246" s="45"/>
      <c r="E246" s="45">
        <v>16</v>
      </c>
    </row>
    <row r="247" spans="1:5" x14ac:dyDescent="0.25">
      <c r="A247" t="s">
        <v>61</v>
      </c>
      <c r="B247" s="45" t="s">
        <v>2149</v>
      </c>
      <c r="C247" s="45" t="s">
        <v>2150</v>
      </c>
      <c r="D247" s="45"/>
      <c r="E247" s="45">
        <v>16</v>
      </c>
    </row>
    <row r="248" spans="1:5" x14ac:dyDescent="0.25">
      <c r="A248" t="s">
        <v>61</v>
      </c>
      <c r="B248" s="45">
        <v>118</v>
      </c>
      <c r="C248" s="45" t="s">
        <v>2151</v>
      </c>
      <c r="D248" s="45"/>
      <c r="E248" s="45">
        <v>22</v>
      </c>
    </row>
    <row r="249" spans="1:5" x14ac:dyDescent="0.25">
      <c r="A249" t="s">
        <v>61</v>
      </c>
      <c r="B249" s="45">
        <v>117</v>
      </c>
      <c r="C249" s="45" t="s">
        <v>2152</v>
      </c>
      <c r="D249" s="45"/>
      <c r="E249" s="45">
        <v>22</v>
      </c>
    </row>
    <row r="250" spans="1:5" x14ac:dyDescent="0.25">
      <c r="A250" t="s">
        <v>61</v>
      </c>
      <c r="B250" s="45">
        <v>120</v>
      </c>
      <c r="C250" s="45" t="s">
        <v>2153</v>
      </c>
      <c r="D250" s="45"/>
      <c r="E250" s="45">
        <v>22</v>
      </c>
    </row>
    <row r="251" spans="1:5" x14ac:dyDescent="0.25">
      <c r="A251" t="s">
        <v>61</v>
      </c>
      <c r="B251" s="45">
        <v>122</v>
      </c>
      <c r="C251" s="45" t="s">
        <v>2154</v>
      </c>
      <c r="D251" s="45"/>
      <c r="E251" s="45">
        <v>22</v>
      </c>
    </row>
    <row r="252" spans="1:5" x14ac:dyDescent="0.25">
      <c r="A252" t="s">
        <v>61</v>
      </c>
      <c r="B252" s="45">
        <v>121</v>
      </c>
      <c r="C252" s="45" t="s">
        <v>2155</v>
      </c>
      <c r="D252" s="45"/>
      <c r="E252" s="45">
        <v>22</v>
      </c>
    </row>
    <row r="253" spans="1:5" x14ac:dyDescent="0.25">
      <c r="A253" t="s">
        <v>61</v>
      </c>
      <c r="B253" s="45" t="s">
        <v>2156</v>
      </c>
      <c r="C253" s="45" t="s">
        <v>2157</v>
      </c>
      <c r="D253" s="45"/>
      <c r="E253" s="45">
        <v>16</v>
      </c>
    </row>
    <row r="254" spans="1:5" x14ac:dyDescent="0.25">
      <c r="A254" t="s">
        <v>61</v>
      </c>
      <c r="B254" s="45" t="s">
        <v>2158</v>
      </c>
      <c r="C254" s="45" t="s">
        <v>2159</v>
      </c>
      <c r="D254" s="45"/>
      <c r="E254" s="45">
        <v>16</v>
      </c>
    </row>
    <row r="255" spans="1:5" x14ac:dyDescent="0.25">
      <c r="A255" t="s">
        <v>61</v>
      </c>
      <c r="B255" s="45" t="s">
        <v>2160</v>
      </c>
      <c r="C255" s="45" t="s">
        <v>2161</v>
      </c>
      <c r="D255" s="45"/>
      <c r="E255" s="45">
        <v>16</v>
      </c>
    </row>
    <row r="256" spans="1:5" x14ac:dyDescent="0.25">
      <c r="A256" t="s">
        <v>61</v>
      </c>
      <c r="B256" s="45" t="s">
        <v>2162</v>
      </c>
      <c r="C256" s="45" t="s">
        <v>2163</v>
      </c>
      <c r="D256" s="45"/>
      <c r="E256" s="45">
        <v>16</v>
      </c>
    </row>
    <row r="257" spans="1:6" x14ac:dyDescent="0.25">
      <c r="A257" t="s">
        <v>61</v>
      </c>
      <c r="B257" s="45" t="s">
        <v>2164</v>
      </c>
      <c r="C257" s="45" t="s">
        <v>2165</v>
      </c>
      <c r="D257" s="45"/>
      <c r="E257" s="45">
        <v>16</v>
      </c>
    </row>
    <row r="258" spans="1:6" x14ac:dyDescent="0.25">
      <c r="A258" t="s">
        <v>61</v>
      </c>
      <c r="B258" s="45">
        <v>115</v>
      </c>
      <c r="C258" s="45" t="s">
        <v>2166</v>
      </c>
      <c r="D258" s="45"/>
      <c r="E258" s="45">
        <v>22</v>
      </c>
    </row>
    <row r="259" spans="1:6" x14ac:dyDescent="0.25">
      <c r="A259" t="s">
        <v>61</v>
      </c>
      <c r="B259" s="45">
        <v>114</v>
      </c>
      <c r="C259" s="45" t="s">
        <v>2167</v>
      </c>
      <c r="D259" s="45"/>
      <c r="E259" s="45">
        <v>22</v>
      </c>
    </row>
    <row r="260" spans="1:6" x14ac:dyDescent="0.25">
      <c r="A260" t="s">
        <v>61</v>
      </c>
      <c r="B260" s="45" t="s">
        <v>2168</v>
      </c>
      <c r="C260" s="45" t="s">
        <v>2169</v>
      </c>
      <c r="D260" s="45"/>
      <c r="E260" s="45">
        <v>16</v>
      </c>
    </row>
    <row r="262" spans="1:6" x14ac:dyDescent="0.25">
      <c r="A262" t="s">
        <v>65</v>
      </c>
      <c r="B262" s="45" t="s">
        <v>2170</v>
      </c>
      <c r="C262" s="45" t="s">
        <v>2171</v>
      </c>
      <c r="D262" s="45"/>
      <c r="F262" s="45" t="s">
        <v>2162</v>
      </c>
    </row>
    <row r="263" spans="1:6" x14ac:dyDescent="0.25">
      <c r="A263" t="s">
        <v>65</v>
      </c>
      <c r="B263" s="45" t="s">
        <v>2172</v>
      </c>
      <c r="C263" s="45" t="s">
        <v>2173</v>
      </c>
      <c r="D263" s="45"/>
      <c r="F263" s="45">
        <v>121</v>
      </c>
    </row>
    <row r="264" spans="1:6" x14ac:dyDescent="0.25">
      <c r="A264" t="s">
        <v>65</v>
      </c>
      <c r="B264" s="45" t="s">
        <v>2174</v>
      </c>
      <c r="C264" s="45" t="s">
        <v>2175</v>
      </c>
      <c r="D264" s="45"/>
      <c r="F264" s="45">
        <v>112</v>
      </c>
    </row>
    <row r="265" spans="1:6" x14ac:dyDescent="0.25">
      <c r="A265" t="s">
        <v>65</v>
      </c>
      <c r="B265" s="45" t="s">
        <v>2176</v>
      </c>
      <c r="C265" s="45" t="s">
        <v>2622</v>
      </c>
      <c r="D265" s="45"/>
      <c r="F265" s="45">
        <v>118</v>
      </c>
    </row>
    <row r="266" spans="1:6" x14ac:dyDescent="0.25">
      <c r="A266" t="s">
        <v>65</v>
      </c>
      <c r="B266" s="45" t="s">
        <v>2177</v>
      </c>
      <c r="C266" s="45" t="s">
        <v>2178</v>
      </c>
      <c r="D266" s="45"/>
      <c r="F266" s="45">
        <v>184</v>
      </c>
    </row>
    <row r="267" spans="1:6" x14ac:dyDescent="0.25">
      <c r="A267" t="s">
        <v>65</v>
      </c>
      <c r="B267" s="45" t="s">
        <v>2179</v>
      </c>
      <c r="C267" s="45" t="s">
        <v>2180</v>
      </c>
      <c r="D267" s="45"/>
      <c r="F267" s="45" t="s">
        <v>2158</v>
      </c>
    </row>
    <row r="268" spans="1:6" x14ac:dyDescent="0.25">
      <c r="A268" t="s">
        <v>65</v>
      </c>
      <c r="B268" s="45" t="s">
        <v>2181</v>
      </c>
      <c r="C268" s="45" t="s">
        <v>2182</v>
      </c>
      <c r="D268" s="45"/>
      <c r="F268" s="45">
        <v>187</v>
      </c>
    </row>
    <row r="269" spans="1:6" x14ac:dyDescent="0.25">
      <c r="A269" t="s">
        <v>65</v>
      </c>
      <c r="B269" s="45" t="s">
        <v>2183</v>
      </c>
      <c r="C269" s="45" t="s">
        <v>2184</v>
      </c>
      <c r="D269" s="45"/>
      <c r="F269" s="45">
        <v>186</v>
      </c>
    </row>
    <row r="270" spans="1:6" x14ac:dyDescent="0.25">
      <c r="A270" t="s">
        <v>65</v>
      </c>
      <c r="B270" s="45" t="s">
        <v>2185</v>
      </c>
      <c r="C270" s="45" t="s">
        <v>2186</v>
      </c>
      <c r="D270" s="45"/>
      <c r="F270" s="45">
        <v>115</v>
      </c>
    </row>
    <row r="271" spans="1:6" x14ac:dyDescent="0.25">
      <c r="A271" t="s">
        <v>65</v>
      </c>
      <c r="B271" s="45" t="s">
        <v>2187</v>
      </c>
      <c r="C271" s="45" t="s">
        <v>2188</v>
      </c>
      <c r="D271" s="45"/>
      <c r="F271" s="45">
        <v>114</v>
      </c>
    </row>
    <row r="272" spans="1:6" x14ac:dyDescent="0.25">
      <c r="A272" t="s">
        <v>65</v>
      </c>
      <c r="B272" s="45" t="s">
        <v>2189</v>
      </c>
      <c r="C272" s="45" t="s">
        <v>2190</v>
      </c>
      <c r="D272" s="45"/>
      <c r="F272" s="45">
        <v>119</v>
      </c>
    </row>
    <row r="273" spans="1:6" x14ac:dyDescent="0.25">
      <c r="A273" t="s">
        <v>65</v>
      </c>
      <c r="B273" s="45" t="s">
        <v>2191</v>
      </c>
      <c r="C273" s="45" t="s">
        <v>2192</v>
      </c>
      <c r="D273" s="45"/>
      <c r="F273" s="45">
        <v>116</v>
      </c>
    </row>
    <row r="274" spans="1:6" x14ac:dyDescent="0.25">
      <c r="A274" t="s">
        <v>65</v>
      </c>
      <c r="B274" s="45" t="s">
        <v>2193</v>
      </c>
      <c r="C274" s="45" t="s">
        <v>2194</v>
      </c>
      <c r="D274" s="45"/>
      <c r="F274" s="45">
        <v>112</v>
      </c>
    </row>
    <row r="275" spans="1:6" x14ac:dyDescent="0.25">
      <c r="A275" t="s">
        <v>65</v>
      </c>
      <c r="B275" s="45" t="s">
        <v>2195</v>
      </c>
      <c r="C275" s="45" t="s">
        <v>2196</v>
      </c>
      <c r="D275" s="45"/>
      <c r="F275" s="45">
        <v>116</v>
      </c>
    </row>
    <row r="276" spans="1:6" x14ac:dyDescent="0.25">
      <c r="A276" t="s">
        <v>65</v>
      </c>
      <c r="B276" s="45" t="s">
        <v>2197</v>
      </c>
      <c r="C276" s="45" t="s">
        <v>2198</v>
      </c>
      <c r="D276" s="45"/>
      <c r="F276" s="45">
        <v>115</v>
      </c>
    </row>
    <row r="277" spans="1:6" x14ac:dyDescent="0.25">
      <c r="A277" t="s">
        <v>65</v>
      </c>
      <c r="B277" s="45" t="s">
        <v>2199</v>
      </c>
      <c r="C277" s="45" t="s">
        <v>2200</v>
      </c>
      <c r="D277" s="45"/>
      <c r="F277" s="45">
        <v>112</v>
      </c>
    </row>
    <row r="278" spans="1:6" x14ac:dyDescent="0.25">
      <c r="A278" t="s">
        <v>65</v>
      </c>
      <c r="B278" s="45" t="s">
        <v>2201</v>
      </c>
      <c r="C278" s="45" t="s">
        <v>2202</v>
      </c>
      <c r="D278" s="45"/>
      <c r="F278" s="45">
        <v>114</v>
      </c>
    </row>
    <row r="279" spans="1:6" x14ac:dyDescent="0.25">
      <c r="A279" t="s">
        <v>65</v>
      </c>
      <c r="B279" s="45" t="s">
        <v>2203</v>
      </c>
      <c r="C279" s="45" t="s">
        <v>2204</v>
      </c>
      <c r="D279" s="45"/>
      <c r="F279" s="45">
        <v>116</v>
      </c>
    </row>
    <row r="280" spans="1:6" x14ac:dyDescent="0.25">
      <c r="A280" t="s">
        <v>65</v>
      </c>
      <c r="B280" s="45" t="s">
        <v>2205</v>
      </c>
      <c r="C280" s="45" t="s">
        <v>2206</v>
      </c>
      <c r="D280" s="45"/>
      <c r="F280" s="45" t="s">
        <v>2168</v>
      </c>
    </row>
    <row r="281" spans="1:6" x14ac:dyDescent="0.25">
      <c r="A281" t="s">
        <v>65</v>
      </c>
      <c r="B281" s="45" t="s">
        <v>2207</v>
      </c>
      <c r="C281" s="45" t="s">
        <v>2208</v>
      </c>
      <c r="D281" s="45"/>
      <c r="F281" s="45">
        <v>184</v>
      </c>
    </row>
    <row r="282" spans="1:6" x14ac:dyDescent="0.25">
      <c r="A282" t="s">
        <v>65</v>
      </c>
      <c r="B282" s="45" t="s">
        <v>2209</v>
      </c>
      <c r="C282" s="45" t="s">
        <v>2210</v>
      </c>
      <c r="D282" s="45"/>
      <c r="F282" s="45">
        <v>186</v>
      </c>
    </row>
    <row r="283" spans="1:6" x14ac:dyDescent="0.25">
      <c r="A283" t="s">
        <v>65</v>
      </c>
      <c r="B283" s="45" t="s">
        <v>2211</v>
      </c>
      <c r="C283" s="45" t="s">
        <v>2212</v>
      </c>
      <c r="D283" s="45"/>
      <c r="F283" s="45">
        <v>185</v>
      </c>
    </row>
    <row r="284" spans="1:6" x14ac:dyDescent="0.25">
      <c r="A284" t="s">
        <v>65</v>
      </c>
      <c r="B284" s="45" t="s">
        <v>2213</v>
      </c>
      <c r="C284" s="45" t="s">
        <v>2214</v>
      </c>
      <c r="D284" s="45"/>
      <c r="F284" s="45">
        <v>113</v>
      </c>
    </row>
    <row r="285" spans="1:6" x14ac:dyDescent="0.25">
      <c r="A285" t="s">
        <v>65</v>
      </c>
      <c r="B285" s="45" t="s">
        <v>2215</v>
      </c>
      <c r="C285" s="45" t="s">
        <v>2141</v>
      </c>
      <c r="D285" s="45"/>
      <c r="F285" s="45">
        <v>119</v>
      </c>
    </row>
    <row r="286" spans="1:6" x14ac:dyDescent="0.25">
      <c r="A286" t="s">
        <v>65</v>
      </c>
      <c r="B286" s="45" t="s">
        <v>2216</v>
      </c>
      <c r="C286" s="45" t="s">
        <v>2217</v>
      </c>
      <c r="D286" s="45"/>
      <c r="F286" s="45">
        <v>115</v>
      </c>
    </row>
    <row r="287" spans="1:6" x14ac:dyDescent="0.25">
      <c r="A287" t="s">
        <v>65</v>
      </c>
      <c r="B287" s="45" t="s">
        <v>2218</v>
      </c>
      <c r="C287" s="45" t="s">
        <v>2219</v>
      </c>
      <c r="D287" s="45"/>
      <c r="F287" s="45">
        <v>115</v>
      </c>
    </row>
    <row r="288" spans="1:6" x14ac:dyDescent="0.25">
      <c r="A288" t="s">
        <v>65</v>
      </c>
      <c r="B288" s="45" t="s">
        <v>2220</v>
      </c>
      <c r="C288" s="45" t="s">
        <v>2221</v>
      </c>
      <c r="D288" s="45"/>
      <c r="F288" s="45" t="s">
        <v>2156</v>
      </c>
    </row>
    <row r="289" spans="1:6" x14ac:dyDescent="0.25">
      <c r="A289" t="s">
        <v>65</v>
      </c>
      <c r="B289" s="45" t="s">
        <v>2222</v>
      </c>
      <c r="C289" s="45" t="s">
        <v>2223</v>
      </c>
      <c r="D289" s="45"/>
      <c r="F289" s="45">
        <v>113</v>
      </c>
    </row>
    <row r="290" spans="1:6" x14ac:dyDescent="0.25">
      <c r="A290" t="s">
        <v>65</v>
      </c>
      <c r="B290" s="45" t="s">
        <v>2224</v>
      </c>
      <c r="C290" s="45" t="s">
        <v>2225</v>
      </c>
      <c r="D290" s="45"/>
      <c r="F290" s="45">
        <v>122</v>
      </c>
    </row>
    <row r="291" spans="1:6" x14ac:dyDescent="0.25">
      <c r="A291" t="s">
        <v>65</v>
      </c>
      <c r="B291" s="45" t="s">
        <v>2226</v>
      </c>
      <c r="C291" s="45" t="s">
        <v>2227</v>
      </c>
      <c r="D291" s="45"/>
      <c r="F291" s="45">
        <v>114</v>
      </c>
    </row>
    <row r="292" spans="1:6" x14ac:dyDescent="0.25">
      <c r="A292" t="s">
        <v>65</v>
      </c>
      <c r="B292" s="45" t="s">
        <v>2228</v>
      </c>
      <c r="C292" s="45" t="s">
        <v>2229</v>
      </c>
      <c r="D292" s="45"/>
      <c r="F292" s="45" t="s">
        <v>2147</v>
      </c>
    </row>
    <row r="293" spans="1:6" x14ac:dyDescent="0.25">
      <c r="A293" t="s">
        <v>65</v>
      </c>
      <c r="B293" s="45" t="s">
        <v>2230</v>
      </c>
      <c r="C293" s="45" t="s">
        <v>2231</v>
      </c>
      <c r="D293" s="45"/>
      <c r="F293" s="45" t="s">
        <v>2147</v>
      </c>
    </row>
    <row r="294" spans="1:6" x14ac:dyDescent="0.25">
      <c r="A294" t="s">
        <v>65</v>
      </c>
      <c r="B294" s="45" t="s">
        <v>2232</v>
      </c>
      <c r="C294" s="45" t="s">
        <v>2233</v>
      </c>
      <c r="D294" s="45"/>
      <c r="F294" s="45" t="s">
        <v>2147</v>
      </c>
    </row>
    <row r="295" spans="1:6" x14ac:dyDescent="0.25">
      <c r="A295" t="s">
        <v>65</v>
      </c>
      <c r="B295" s="45" t="s">
        <v>2234</v>
      </c>
      <c r="C295" s="45" t="s">
        <v>2235</v>
      </c>
      <c r="D295" s="45"/>
      <c r="F295" s="45" t="s">
        <v>2147</v>
      </c>
    </row>
    <row r="296" spans="1:6" x14ac:dyDescent="0.25">
      <c r="A296" t="s">
        <v>65</v>
      </c>
      <c r="B296" s="45" t="s">
        <v>2236</v>
      </c>
      <c r="C296" s="45" t="s">
        <v>2237</v>
      </c>
      <c r="D296" s="45"/>
      <c r="F296" s="45">
        <v>185</v>
      </c>
    </row>
    <row r="297" spans="1:6" x14ac:dyDescent="0.25">
      <c r="A297" t="s">
        <v>65</v>
      </c>
      <c r="B297" s="45" t="s">
        <v>2238</v>
      </c>
      <c r="C297" s="45" t="s">
        <v>2239</v>
      </c>
      <c r="D297" s="45"/>
      <c r="F297" s="45">
        <v>120</v>
      </c>
    </row>
    <row r="298" spans="1:6" x14ac:dyDescent="0.25">
      <c r="A298" t="s">
        <v>65</v>
      </c>
      <c r="B298" s="45" t="s">
        <v>2240</v>
      </c>
      <c r="C298" s="45" t="s">
        <v>2241</v>
      </c>
      <c r="D298" s="45"/>
      <c r="F298" s="45">
        <v>118</v>
      </c>
    </row>
    <row r="299" spans="1:6" x14ac:dyDescent="0.25">
      <c r="A299" t="s">
        <v>65</v>
      </c>
      <c r="B299" s="45" t="s">
        <v>2242</v>
      </c>
      <c r="C299" s="45" t="s">
        <v>2243</v>
      </c>
      <c r="D299" s="45"/>
      <c r="F299" s="45" t="s">
        <v>2168</v>
      </c>
    </row>
    <row r="300" spans="1:6" x14ac:dyDescent="0.25">
      <c r="A300" t="s">
        <v>65</v>
      </c>
      <c r="B300" s="45" t="s">
        <v>2244</v>
      </c>
      <c r="C300" s="45" t="s">
        <v>2245</v>
      </c>
      <c r="D300" s="45"/>
      <c r="F300" s="45" t="s">
        <v>2149</v>
      </c>
    </row>
    <row r="301" spans="1:6" x14ac:dyDescent="0.25">
      <c r="A301" t="s">
        <v>65</v>
      </c>
      <c r="B301" s="45" t="s">
        <v>2246</v>
      </c>
      <c r="C301" s="45" t="s">
        <v>2247</v>
      </c>
      <c r="D301" s="45"/>
      <c r="F301" s="45">
        <v>186</v>
      </c>
    </row>
    <row r="302" spans="1:6" x14ac:dyDescent="0.25">
      <c r="A302" t="s">
        <v>65</v>
      </c>
      <c r="B302" s="45" t="s">
        <v>2248</v>
      </c>
      <c r="C302" s="45" t="s">
        <v>2249</v>
      </c>
      <c r="D302" s="45"/>
      <c r="F302" s="45">
        <v>185</v>
      </c>
    </row>
    <row r="303" spans="1:6" x14ac:dyDescent="0.25">
      <c r="A303" t="s">
        <v>65</v>
      </c>
      <c r="B303" s="45" t="s">
        <v>2250</v>
      </c>
      <c r="C303" s="45" t="s">
        <v>2251</v>
      </c>
      <c r="D303" s="45"/>
      <c r="F303" s="45">
        <v>111</v>
      </c>
    </row>
    <row r="304" spans="1:6" x14ac:dyDescent="0.25">
      <c r="A304" t="s">
        <v>65</v>
      </c>
      <c r="B304" s="45" t="s">
        <v>2252</v>
      </c>
      <c r="C304" s="45" t="s">
        <v>2253</v>
      </c>
      <c r="D304" s="45"/>
      <c r="F304" s="45" t="s">
        <v>2164</v>
      </c>
    </row>
    <row r="305" spans="1:6" x14ac:dyDescent="0.25">
      <c r="A305" t="s">
        <v>65</v>
      </c>
      <c r="B305" s="45" t="s">
        <v>2254</v>
      </c>
      <c r="C305" s="45" t="s">
        <v>2255</v>
      </c>
      <c r="D305" s="45"/>
      <c r="F305" s="45">
        <v>111</v>
      </c>
    </row>
    <row r="306" spans="1:6" x14ac:dyDescent="0.25">
      <c r="A306" t="s">
        <v>65</v>
      </c>
      <c r="B306" s="45" t="s">
        <v>2256</v>
      </c>
      <c r="C306" s="45" t="s">
        <v>2257</v>
      </c>
      <c r="D306" s="45"/>
      <c r="F306" s="45">
        <v>118</v>
      </c>
    </row>
    <row r="307" spans="1:6" x14ac:dyDescent="0.25">
      <c r="A307" t="s">
        <v>65</v>
      </c>
      <c r="B307" s="45" t="s">
        <v>2258</v>
      </c>
      <c r="C307" s="45" t="s">
        <v>2259</v>
      </c>
      <c r="D307" s="45"/>
      <c r="F307" s="45">
        <v>122</v>
      </c>
    </row>
    <row r="308" spans="1:6" x14ac:dyDescent="0.25">
      <c r="A308" t="s">
        <v>65</v>
      </c>
      <c r="B308" s="45" t="s">
        <v>2260</v>
      </c>
      <c r="C308" s="45" t="s">
        <v>2153</v>
      </c>
      <c r="D308" s="45"/>
      <c r="F308" s="45">
        <v>120</v>
      </c>
    </row>
    <row r="309" spans="1:6" x14ac:dyDescent="0.25">
      <c r="A309" t="s">
        <v>65</v>
      </c>
      <c r="B309" s="45" t="s">
        <v>2261</v>
      </c>
      <c r="C309" s="45" t="s">
        <v>2262</v>
      </c>
      <c r="D309" s="45"/>
      <c r="F309" s="45">
        <v>187</v>
      </c>
    </row>
    <row r="310" spans="1:6" x14ac:dyDescent="0.25">
      <c r="A310" t="s">
        <v>65</v>
      </c>
      <c r="B310" s="45" t="s">
        <v>2263</v>
      </c>
      <c r="C310" s="45" t="s">
        <v>2264</v>
      </c>
      <c r="D310" s="45"/>
      <c r="F310" s="45">
        <v>122</v>
      </c>
    </row>
    <row r="311" spans="1:6" x14ac:dyDescent="0.25">
      <c r="A311" t="s">
        <v>65</v>
      </c>
      <c r="B311" s="45" t="s">
        <v>2265</v>
      </c>
      <c r="C311" s="45" t="s">
        <v>2266</v>
      </c>
      <c r="D311" s="45"/>
      <c r="F311" s="45" t="s">
        <v>2162</v>
      </c>
    </row>
    <row r="312" spans="1:6" x14ac:dyDescent="0.25">
      <c r="A312" t="s">
        <v>65</v>
      </c>
      <c r="B312" s="45" t="s">
        <v>2267</v>
      </c>
      <c r="C312" s="45" t="s">
        <v>2268</v>
      </c>
      <c r="D312" s="45"/>
      <c r="F312" s="45">
        <v>120</v>
      </c>
    </row>
    <row r="313" spans="1:6" x14ac:dyDescent="0.25">
      <c r="A313" t="s">
        <v>65</v>
      </c>
      <c r="B313" s="45" t="s">
        <v>2269</v>
      </c>
      <c r="C313" s="45" t="s">
        <v>2270</v>
      </c>
      <c r="D313" s="45"/>
      <c r="F313" s="45">
        <v>185</v>
      </c>
    </row>
    <row r="314" spans="1:6" x14ac:dyDescent="0.25">
      <c r="A314" t="s">
        <v>65</v>
      </c>
      <c r="B314" s="45" t="s">
        <v>2271</v>
      </c>
      <c r="C314" s="45" t="s">
        <v>2272</v>
      </c>
      <c r="D314" s="45"/>
      <c r="F314" s="45" t="s">
        <v>2168</v>
      </c>
    </row>
    <row r="315" spans="1:6" x14ac:dyDescent="0.25">
      <c r="A315" t="s">
        <v>65</v>
      </c>
      <c r="B315" s="45" t="s">
        <v>2273</v>
      </c>
      <c r="C315" s="45" t="s">
        <v>2274</v>
      </c>
      <c r="D315" s="45"/>
      <c r="F315" s="45">
        <v>115</v>
      </c>
    </row>
    <row r="316" spans="1:6" x14ac:dyDescent="0.25">
      <c r="A316" t="s">
        <v>65</v>
      </c>
      <c r="B316" s="45" t="s">
        <v>2275</v>
      </c>
      <c r="C316" s="45" t="s">
        <v>2276</v>
      </c>
      <c r="D316" s="45"/>
      <c r="F316" s="45" t="s">
        <v>2158</v>
      </c>
    </row>
    <row r="317" spans="1:6" x14ac:dyDescent="0.25">
      <c r="A317" t="s">
        <v>65</v>
      </c>
      <c r="B317" s="45" t="s">
        <v>2277</v>
      </c>
      <c r="C317" s="45" t="s">
        <v>2278</v>
      </c>
      <c r="D317" s="45"/>
      <c r="F317" s="45" t="s">
        <v>2156</v>
      </c>
    </row>
    <row r="318" spans="1:6" x14ac:dyDescent="0.25">
      <c r="A318" t="s">
        <v>65</v>
      </c>
      <c r="B318" s="45" t="s">
        <v>2279</v>
      </c>
      <c r="C318" s="45" t="s">
        <v>2280</v>
      </c>
      <c r="D318" s="45"/>
      <c r="F318" s="45">
        <v>116</v>
      </c>
    </row>
    <row r="319" spans="1:6" x14ac:dyDescent="0.25">
      <c r="A319" t="s">
        <v>65</v>
      </c>
      <c r="B319" s="45" t="s">
        <v>2281</v>
      </c>
      <c r="C319" s="45" t="s">
        <v>2282</v>
      </c>
      <c r="D319" s="45"/>
      <c r="F319" s="45">
        <v>187</v>
      </c>
    </row>
    <row r="320" spans="1:6" x14ac:dyDescent="0.25">
      <c r="A320" t="s">
        <v>65</v>
      </c>
      <c r="B320" s="45" t="s">
        <v>2283</v>
      </c>
      <c r="C320" s="45" t="s">
        <v>2284</v>
      </c>
      <c r="D320" s="45"/>
      <c r="F320" s="45" t="s">
        <v>2160</v>
      </c>
    </row>
    <row r="321" spans="1:6" x14ac:dyDescent="0.25">
      <c r="A321" t="s">
        <v>65</v>
      </c>
      <c r="B321" s="45" t="s">
        <v>2285</v>
      </c>
      <c r="C321" s="45" t="s">
        <v>2286</v>
      </c>
      <c r="D321" s="45"/>
      <c r="F321" s="45">
        <v>122</v>
      </c>
    </row>
    <row r="322" spans="1:6" x14ac:dyDescent="0.25">
      <c r="A322" t="s">
        <v>65</v>
      </c>
      <c r="B322" s="45" t="s">
        <v>2287</v>
      </c>
      <c r="C322" s="45" t="s">
        <v>2288</v>
      </c>
      <c r="D322" s="45"/>
      <c r="F322" s="45">
        <v>121</v>
      </c>
    </row>
    <row r="323" spans="1:6" x14ac:dyDescent="0.25">
      <c r="A323" t="s">
        <v>65</v>
      </c>
      <c r="B323" s="45" t="s">
        <v>2289</v>
      </c>
      <c r="C323" s="45" t="s">
        <v>2290</v>
      </c>
      <c r="D323" s="45"/>
      <c r="F323" s="45">
        <v>121</v>
      </c>
    </row>
    <row r="324" spans="1:6" x14ac:dyDescent="0.25">
      <c r="A324" t="s">
        <v>65</v>
      </c>
      <c r="B324" s="45" t="s">
        <v>2291</v>
      </c>
      <c r="C324" s="45" t="s">
        <v>2292</v>
      </c>
      <c r="D324" s="45"/>
      <c r="F324" s="45" t="s">
        <v>2149</v>
      </c>
    </row>
    <row r="325" spans="1:6" x14ac:dyDescent="0.25">
      <c r="A325" t="s">
        <v>65</v>
      </c>
      <c r="B325" s="45" t="s">
        <v>2293</v>
      </c>
      <c r="C325" s="45" t="s">
        <v>2294</v>
      </c>
      <c r="D325" s="45"/>
      <c r="F325" s="45" t="s">
        <v>2156</v>
      </c>
    </row>
    <row r="326" spans="1:6" x14ac:dyDescent="0.25">
      <c r="A326" t="s">
        <v>65</v>
      </c>
      <c r="B326" s="45" t="s">
        <v>2295</v>
      </c>
      <c r="C326" s="45" t="s">
        <v>2296</v>
      </c>
      <c r="D326" s="45"/>
      <c r="F326" s="45">
        <v>186</v>
      </c>
    </row>
    <row r="327" spans="1:6" x14ac:dyDescent="0.25">
      <c r="A327" t="s">
        <v>65</v>
      </c>
      <c r="B327" s="45" t="s">
        <v>2297</v>
      </c>
      <c r="C327" s="45" t="s">
        <v>2298</v>
      </c>
      <c r="D327" s="45"/>
      <c r="F327" s="45" t="s">
        <v>2164</v>
      </c>
    </row>
    <row r="328" spans="1:6" x14ac:dyDescent="0.25">
      <c r="A328" t="s">
        <v>65</v>
      </c>
      <c r="B328" s="45" t="s">
        <v>2299</v>
      </c>
      <c r="C328" s="45" t="s">
        <v>2300</v>
      </c>
      <c r="D328" s="45"/>
      <c r="F328" s="45">
        <v>112</v>
      </c>
    </row>
    <row r="329" spans="1:6" x14ac:dyDescent="0.25">
      <c r="A329" t="s">
        <v>65</v>
      </c>
      <c r="B329" s="45" t="s">
        <v>2301</v>
      </c>
      <c r="C329" s="45" t="s">
        <v>2302</v>
      </c>
      <c r="D329" s="45"/>
      <c r="F329" s="45" t="s">
        <v>2164</v>
      </c>
    </row>
    <row r="330" spans="1:6" x14ac:dyDescent="0.25">
      <c r="A330" t="s">
        <v>65</v>
      </c>
      <c r="B330" s="45" t="s">
        <v>2303</v>
      </c>
      <c r="C330" s="45" t="s">
        <v>2304</v>
      </c>
      <c r="D330" s="45"/>
      <c r="F330" s="45" t="s">
        <v>2158</v>
      </c>
    </row>
    <row r="331" spans="1:6" x14ac:dyDescent="0.25">
      <c r="A331" t="s">
        <v>65</v>
      </c>
      <c r="B331" s="45" t="s">
        <v>2305</v>
      </c>
      <c r="C331" s="45" t="s">
        <v>2306</v>
      </c>
      <c r="D331" s="45"/>
      <c r="F331" s="45">
        <v>184</v>
      </c>
    </row>
    <row r="332" spans="1:6" x14ac:dyDescent="0.25">
      <c r="A332" t="s">
        <v>65</v>
      </c>
      <c r="B332" s="45" t="s">
        <v>2307</v>
      </c>
      <c r="C332" s="45" t="s">
        <v>2308</v>
      </c>
      <c r="D332" s="45"/>
      <c r="F332" s="45">
        <v>184</v>
      </c>
    </row>
    <row r="333" spans="1:6" x14ac:dyDescent="0.25">
      <c r="A333" t="s">
        <v>65</v>
      </c>
      <c r="B333" s="45" t="s">
        <v>2309</v>
      </c>
      <c r="C333" s="45" t="s">
        <v>2310</v>
      </c>
      <c r="D333" s="45"/>
      <c r="F333" s="45" t="s">
        <v>2160</v>
      </c>
    </row>
    <row r="334" spans="1:6" x14ac:dyDescent="0.25">
      <c r="A334" t="s">
        <v>65</v>
      </c>
      <c r="B334" s="45" t="s">
        <v>2311</v>
      </c>
      <c r="C334" s="45" t="s">
        <v>2312</v>
      </c>
      <c r="D334" s="45"/>
      <c r="F334" s="45" t="s">
        <v>2160</v>
      </c>
    </row>
    <row r="335" spans="1:6" x14ac:dyDescent="0.25">
      <c r="A335" t="s">
        <v>65</v>
      </c>
      <c r="B335" s="45" t="s">
        <v>2313</v>
      </c>
      <c r="C335" s="45" t="s">
        <v>2314</v>
      </c>
      <c r="D335" s="45"/>
      <c r="F335" s="45" t="s">
        <v>2160</v>
      </c>
    </row>
    <row r="336" spans="1:6" x14ac:dyDescent="0.25">
      <c r="A336" t="s">
        <v>65</v>
      </c>
      <c r="B336" s="45" t="s">
        <v>2315</v>
      </c>
      <c r="C336" s="45" t="s">
        <v>2316</v>
      </c>
      <c r="D336" s="45"/>
      <c r="F336" s="45" t="s">
        <v>2168</v>
      </c>
    </row>
    <row r="337" spans="1:6" x14ac:dyDescent="0.25">
      <c r="A337" t="s">
        <v>65</v>
      </c>
      <c r="B337" s="45" t="s">
        <v>2317</v>
      </c>
      <c r="C337" s="45" t="s">
        <v>2318</v>
      </c>
      <c r="D337" s="45"/>
      <c r="F337" s="45">
        <v>187</v>
      </c>
    </row>
    <row r="338" spans="1:6" x14ac:dyDescent="0.25">
      <c r="A338" t="s">
        <v>65</v>
      </c>
      <c r="B338" s="45" t="s">
        <v>2319</v>
      </c>
      <c r="C338" s="45" t="s">
        <v>2320</v>
      </c>
      <c r="D338" s="45"/>
      <c r="F338" s="45" t="s">
        <v>2164</v>
      </c>
    </row>
    <row r="339" spans="1:6" x14ac:dyDescent="0.25">
      <c r="A339" t="s">
        <v>65</v>
      </c>
      <c r="B339" s="45" t="s">
        <v>2321</v>
      </c>
      <c r="C339" s="45" t="s">
        <v>2322</v>
      </c>
      <c r="D339" s="45"/>
      <c r="F339" s="45" t="s">
        <v>2149</v>
      </c>
    </row>
    <row r="340" spans="1:6" x14ac:dyDescent="0.25">
      <c r="A340" t="s">
        <v>65</v>
      </c>
      <c r="B340" s="45" t="s">
        <v>2323</v>
      </c>
      <c r="C340" s="45" t="s">
        <v>2324</v>
      </c>
      <c r="D340" s="45"/>
      <c r="F340" s="45">
        <v>186</v>
      </c>
    </row>
    <row r="341" spans="1:6" x14ac:dyDescent="0.25">
      <c r="A341" t="s">
        <v>65</v>
      </c>
      <c r="B341" s="45" t="s">
        <v>2325</v>
      </c>
      <c r="C341" s="45" t="s">
        <v>2326</v>
      </c>
      <c r="D341" s="45"/>
      <c r="F341" s="45" t="s">
        <v>2156</v>
      </c>
    </row>
    <row r="342" spans="1:6" x14ac:dyDescent="0.25">
      <c r="A342" t="s">
        <v>65</v>
      </c>
      <c r="B342" s="45" t="s">
        <v>2327</v>
      </c>
      <c r="C342" s="45" t="s">
        <v>2328</v>
      </c>
      <c r="D342" s="45"/>
      <c r="F342" s="45">
        <v>118</v>
      </c>
    </row>
    <row r="343" spans="1:6" x14ac:dyDescent="0.25">
      <c r="A343" t="s">
        <v>65</v>
      </c>
      <c r="B343" s="45" t="s">
        <v>2329</v>
      </c>
      <c r="C343" s="45" t="s">
        <v>2330</v>
      </c>
      <c r="D343" s="45"/>
      <c r="F343" s="45">
        <v>119</v>
      </c>
    </row>
    <row r="344" spans="1:6" x14ac:dyDescent="0.25">
      <c r="A344" t="s">
        <v>65</v>
      </c>
      <c r="B344" s="45" t="s">
        <v>2331</v>
      </c>
      <c r="C344" s="45" t="s">
        <v>2332</v>
      </c>
      <c r="D344" s="45"/>
      <c r="F344" s="45" t="s">
        <v>2156</v>
      </c>
    </row>
    <row r="345" spans="1:6" x14ac:dyDescent="0.25">
      <c r="A345" t="s">
        <v>65</v>
      </c>
      <c r="B345" s="45" t="s">
        <v>2333</v>
      </c>
      <c r="C345" s="45" t="s">
        <v>2334</v>
      </c>
      <c r="D345" s="45"/>
      <c r="F345" s="45">
        <v>113</v>
      </c>
    </row>
    <row r="346" spans="1:6" x14ac:dyDescent="0.25">
      <c r="A346" t="s">
        <v>65</v>
      </c>
      <c r="B346" s="45" t="s">
        <v>2335</v>
      </c>
      <c r="C346" s="45" t="s">
        <v>2336</v>
      </c>
      <c r="D346" s="45"/>
      <c r="F346" s="45" t="s">
        <v>2158</v>
      </c>
    </row>
    <row r="347" spans="1:6" x14ac:dyDescent="0.25">
      <c r="A347" t="s">
        <v>65</v>
      </c>
      <c r="B347" s="45" t="s">
        <v>2337</v>
      </c>
      <c r="C347" s="45" t="s">
        <v>2338</v>
      </c>
      <c r="D347" s="45"/>
      <c r="F347" s="45" t="s">
        <v>2164</v>
      </c>
    </row>
    <row r="348" spans="1:6" x14ac:dyDescent="0.25">
      <c r="A348" t="s">
        <v>65</v>
      </c>
      <c r="B348" s="45" t="s">
        <v>2339</v>
      </c>
      <c r="C348" s="45" t="s">
        <v>2340</v>
      </c>
      <c r="D348" s="45"/>
      <c r="F348" s="45" t="s">
        <v>2162</v>
      </c>
    </row>
    <row r="349" spans="1:6" x14ac:dyDescent="0.25">
      <c r="A349" t="s">
        <v>65</v>
      </c>
      <c r="B349" s="45" t="s">
        <v>2341</v>
      </c>
      <c r="C349" s="45" t="s">
        <v>2342</v>
      </c>
      <c r="D349" s="45"/>
      <c r="F349" s="45" t="s">
        <v>2156</v>
      </c>
    </row>
    <row r="350" spans="1:6" x14ac:dyDescent="0.25">
      <c r="A350" t="s">
        <v>65</v>
      </c>
      <c r="B350" s="45" t="s">
        <v>2343</v>
      </c>
      <c r="C350" s="45" t="s">
        <v>2344</v>
      </c>
      <c r="D350" s="45"/>
      <c r="F350" s="45" t="s">
        <v>2156</v>
      </c>
    </row>
    <row r="351" spans="1:6" x14ac:dyDescent="0.25">
      <c r="A351" t="s">
        <v>65</v>
      </c>
      <c r="B351" s="45" t="s">
        <v>2345</v>
      </c>
      <c r="C351" s="45" t="s">
        <v>2346</v>
      </c>
      <c r="D351" s="45"/>
      <c r="F351" s="45">
        <v>115</v>
      </c>
    </row>
    <row r="352" spans="1:6" x14ac:dyDescent="0.25">
      <c r="A352" t="s">
        <v>65</v>
      </c>
      <c r="B352" s="45" t="s">
        <v>2347</v>
      </c>
      <c r="C352" s="45" t="s">
        <v>2348</v>
      </c>
      <c r="D352" s="45"/>
      <c r="F352" s="45">
        <v>120</v>
      </c>
    </row>
    <row r="353" spans="1:6" x14ac:dyDescent="0.25">
      <c r="A353" t="s">
        <v>65</v>
      </c>
      <c r="B353" s="45" t="s">
        <v>2349</v>
      </c>
      <c r="C353" s="45" t="s">
        <v>2350</v>
      </c>
      <c r="D353" s="45"/>
      <c r="F353" s="45" t="s">
        <v>2168</v>
      </c>
    </row>
    <row r="354" spans="1:6" x14ac:dyDescent="0.25">
      <c r="A354" t="s">
        <v>65</v>
      </c>
      <c r="B354" s="45" t="s">
        <v>2351</v>
      </c>
      <c r="C354" s="45" t="s">
        <v>2352</v>
      </c>
      <c r="D354" s="45"/>
      <c r="F354" s="45">
        <v>111</v>
      </c>
    </row>
    <row r="355" spans="1:6" x14ac:dyDescent="0.25">
      <c r="A355" t="s">
        <v>65</v>
      </c>
      <c r="B355" s="45" t="s">
        <v>2353</v>
      </c>
      <c r="C355" s="45" t="s">
        <v>2354</v>
      </c>
      <c r="D355" s="45"/>
      <c r="F355" s="45">
        <v>121</v>
      </c>
    </row>
    <row r="356" spans="1:6" x14ac:dyDescent="0.25">
      <c r="A356" t="s">
        <v>65</v>
      </c>
      <c r="B356" s="45" t="s">
        <v>2355</v>
      </c>
      <c r="C356" s="45" t="s">
        <v>2356</v>
      </c>
      <c r="D356" s="45"/>
      <c r="F356" s="45">
        <v>118</v>
      </c>
    </row>
    <row r="357" spans="1:6" x14ac:dyDescent="0.25">
      <c r="A357" t="s">
        <v>65</v>
      </c>
      <c r="B357" s="45" t="s">
        <v>2357</v>
      </c>
      <c r="C357" s="45" t="s">
        <v>2358</v>
      </c>
      <c r="D357" s="45"/>
      <c r="F357" s="45" t="s">
        <v>2158</v>
      </c>
    </row>
    <row r="358" spans="1:6" x14ac:dyDescent="0.25">
      <c r="A358" t="s">
        <v>65</v>
      </c>
      <c r="B358" s="45" t="s">
        <v>2359</v>
      </c>
      <c r="C358" s="45" t="s">
        <v>2360</v>
      </c>
      <c r="D358" s="45"/>
      <c r="F358" s="45">
        <v>117</v>
      </c>
    </row>
    <row r="359" spans="1:6" x14ac:dyDescent="0.25">
      <c r="A359" t="s">
        <v>65</v>
      </c>
      <c r="B359" s="45" t="s">
        <v>2361</v>
      </c>
      <c r="C359" s="45" t="s">
        <v>2362</v>
      </c>
      <c r="D359" s="45"/>
      <c r="F359" s="45">
        <v>121</v>
      </c>
    </row>
    <row r="360" spans="1:6" x14ac:dyDescent="0.25">
      <c r="A360" t="s">
        <v>65</v>
      </c>
      <c r="B360" s="45" t="s">
        <v>2363</v>
      </c>
      <c r="C360" s="45" t="s">
        <v>2364</v>
      </c>
      <c r="D360" s="45"/>
      <c r="F360" s="45">
        <v>111</v>
      </c>
    </row>
    <row r="361" spans="1:6" x14ac:dyDescent="0.25">
      <c r="A361" t="s">
        <v>65</v>
      </c>
      <c r="B361" s="45" t="s">
        <v>2365</v>
      </c>
      <c r="C361" s="45" t="s">
        <v>2366</v>
      </c>
      <c r="D361" s="45"/>
      <c r="F361" s="45">
        <v>116</v>
      </c>
    </row>
    <row r="362" spans="1:6" x14ac:dyDescent="0.25">
      <c r="A362" t="s">
        <v>65</v>
      </c>
      <c r="B362" s="45" t="s">
        <v>2367</v>
      </c>
      <c r="C362" s="45" t="s">
        <v>2368</v>
      </c>
      <c r="D362" s="45"/>
      <c r="F362" s="45">
        <v>114</v>
      </c>
    </row>
    <row r="363" spans="1:6" x14ac:dyDescent="0.25">
      <c r="A363" t="s">
        <v>65</v>
      </c>
      <c r="B363" s="45" t="s">
        <v>2369</v>
      </c>
      <c r="C363" s="45" t="s">
        <v>2370</v>
      </c>
      <c r="D363" s="45"/>
      <c r="F363" s="45">
        <v>183</v>
      </c>
    </row>
    <row r="364" spans="1:6" x14ac:dyDescent="0.25">
      <c r="A364" t="s">
        <v>65</v>
      </c>
      <c r="B364" s="45" t="s">
        <v>2371</v>
      </c>
      <c r="C364" s="45" t="s">
        <v>2372</v>
      </c>
      <c r="D364" s="45"/>
      <c r="F364" s="45">
        <v>183</v>
      </c>
    </row>
    <row r="365" spans="1:6" x14ac:dyDescent="0.25">
      <c r="A365" t="s">
        <v>65</v>
      </c>
      <c r="B365" s="45" t="s">
        <v>2373</v>
      </c>
      <c r="C365" s="45" t="s">
        <v>2374</v>
      </c>
      <c r="D365" s="45"/>
      <c r="F365" s="45">
        <v>119</v>
      </c>
    </row>
    <row r="366" spans="1:6" x14ac:dyDescent="0.25">
      <c r="A366" t="s">
        <v>65</v>
      </c>
      <c r="B366" s="45" t="s">
        <v>2375</v>
      </c>
      <c r="C366" s="45" t="s">
        <v>2376</v>
      </c>
      <c r="D366" s="45"/>
      <c r="F366" s="45">
        <v>122</v>
      </c>
    </row>
    <row r="367" spans="1:6" x14ac:dyDescent="0.25">
      <c r="A367" t="s">
        <v>65</v>
      </c>
      <c r="B367" s="45" t="s">
        <v>2377</v>
      </c>
      <c r="C367" s="45" t="s">
        <v>2378</v>
      </c>
      <c r="D367" s="45"/>
      <c r="F367" s="45">
        <v>183</v>
      </c>
    </row>
    <row r="368" spans="1:6" x14ac:dyDescent="0.25">
      <c r="A368" t="s">
        <v>65</v>
      </c>
      <c r="B368" s="45" t="s">
        <v>2379</v>
      </c>
      <c r="C368" s="45" t="s">
        <v>2380</v>
      </c>
      <c r="D368" s="45"/>
      <c r="F368" s="45">
        <v>183</v>
      </c>
    </row>
    <row r="369" spans="1:6" x14ac:dyDescent="0.25">
      <c r="A369" t="s">
        <v>65</v>
      </c>
      <c r="B369" s="45" t="s">
        <v>2381</v>
      </c>
      <c r="C369" s="45" t="s">
        <v>2382</v>
      </c>
      <c r="D369" s="45"/>
      <c r="F369" s="45">
        <v>185</v>
      </c>
    </row>
    <row r="370" spans="1:6" x14ac:dyDescent="0.25">
      <c r="A370" t="s">
        <v>65</v>
      </c>
      <c r="B370" s="45" t="s">
        <v>2383</v>
      </c>
      <c r="C370" s="45" t="s">
        <v>2384</v>
      </c>
      <c r="D370" s="45"/>
      <c r="F370" s="45">
        <v>183</v>
      </c>
    </row>
    <row r="371" spans="1:6" x14ac:dyDescent="0.25">
      <c r="A371" t="s">
        <v>65</v>
      </c>
      <c r="B371" s="45" t="s">
        <v>2385</v>
      </c>
      <c r="C371" s="45" t="s">
        <v>2386</v>
      </c>
      <c r="D371" s="45"/>
      <c r="F371" s="45">
        <v>184</v>
      </c>
    </row>
    <row r="372" spans="1:6" x14ac:dyDescent="0.25">
      <c r="A372" t="s">
        <v>65</v>
      </c>
      <c r="B372" s="45" t="s">
        <v>2387</v>
      </c>
      <c r="C372" s="45" t="s">
        <v>2388</v>
      </c>
      <c r="D372" s="45"/>
      <c r="F372" s="45">
        <v>117</v>
      </c>
    </row>
    <row r="373" spans="1:6" x14ac:dyDescent="0.25">
      <c r="A373" t="s">
        <v>65</v>
      </c>
      <c r="B373" s="45" t="s">
        <v>2389</v>
      </c>
      <c r="C373" s="45" t="s">
        <v>2390</v>
      </c>
      <c r="D373" s="45"/>
      <c r="F373" s="45">
        <v>187</v>
      </c>
    </row>
    <row r="374" spans="1:6" x14ac:dyDescent="0.25">
      <c r="A374" t="s">
        <v>65</v>
      </c>
      <c r="B374" s="45" t="s">
        <v>2391</v>
      </c>
      <c r="C374" s="45" t="s">
        <v>2392</v>
      </c>
      <c r="D374" s="45"/>
      <c r="F374" s="45">
        <v>120</v>
      </c>
    </row>
    <row r="375" spans="1:6" x14ac:dyDescent="0.25">
      <c r="A375" t="s">
        <v>65</v>
      </c>
      <c r="B375" s="45" t="s">
        <v>2393</v>
      </c>
      <c r="C375" s="45" t="s">
        <v>2394</v>
      </c>
      <c r="D375" s="45"/>
      <c r="F375" s="45" t="s">
        <v>2162</v>
      </c>
    </row>
    <row r="376" spans="1:6" x14ac:dyDescent="0.25">
      <c r="A376" t="s">
        <v>65</v>
      </c>
      <c r="B376" s="45" t="s">
        <v>2395</v>
      </c>
      <c r="C376" s="45" t="s">
        <v>2396</v>
      </c>
      <c r="D376" s="45"/>
      <c r="F376" s="45" t="s">
        <v>2160</v>
      </c>
    </row>
    <row r="377" spans="1:6" x14ac:dyDescent="0.25">
      <c r="A377" t="s">
        <v>65</v>
      </c>
      <c r="B377" s="45" t="s">
        <v>2397</v>
      </c>
      <c r="C377" s="45" t="s">
        <v>2398</v>
      </c>
      <c r="D377" s="45"/>
      <c r="F377" s="45">
        <v>113</v>
      </c>
    </row>
    <row r="378" spans="1:6" x14ac:dyDescent="0.25">
      <c r="A378" t="s">
        <v>65</v>
      </c>
      <c r="B378" s="45" t="s">
        <v>2399</v>
      </c>
      <c r="C378" s="45" t="s">
        <v>2400</v>
      </c>
      <c r="D378" s="45"/>
      <c r="F378" s="45">
        <v>117</v>
      </c>
    </row>
    <row r="379" spans="1:6" x14ac:dyDescent="0.25">
      <c r="A379" t="s">
        <v>65</v>
      </c>
      <c r="B379" s="45" t="s">
        <v>2401</v>
      </c>
      <c r="C379" s="45" t="s">
        <v>2402</v>
      </c>
      <c r="D379" s="45"/>
      <c r="F379" s="45">
        <v>117</v>
      </c>
    </row>
    <row r="380" spans="1:6" x14ac:dyDescent="0.25">
      <c r="A380" t="s">
        <v>65</v>
      </c>
      <c r="B380" s="45" t="s">
        <v>2403</v>
      </c>
      <c r="C380" s="45" t="s">
        <v>2402</v>
      </c>
      <c r="D380" s="45"/>
      <c r="F380" s="45">
        <v>114</v>
      </c>
    </row>
    <row r="381" spans="1:6" x14ac:dyDescent="0.25">
      <c r="A381" t="s">
        <v>65</v>
      </c>
      <c r="B381" s="45" t="s">
        <v>2404</v>
      </c>
      <c r="C381" s="45" t="s">
        <v>2405</v>
      </c>
      <c r="D381" s="45"/>
      <c r="F381" s="45" t="s">
        <v>2149</v>
      </c>
    </row>
    <row r="382" spans="1:6" x14ac:dyDescent="0.25">
      <c r="A382" t="s">
        <v>65</v>
      </c>
      <c r="B382" s="45" t="s">
        <v>2406</v>
      </c>
      <c r="C382" s="45" t="s">
        <v>2407</v>
      </c>
      <c r="D382" s="45"/>
      <c r="F382" s="45">
        <v>119</v>
      </c>
    </row>
    <row r="383" spans="1:6" x14ac:dyDescent="0.25">
      <c r="A383" t="s">
        <v>65</v>
      </c>
      <c r="B383" s="45" t="s">
        <v>2408</v>
      </c>
      <c r="C383" s="45" t="s">
        <v>2409</v>
      </c>
      <c r="D383" s="45"/>
      <c r="F383" s="45" t="s">
        <v>2164</v>
      </c>
    </row>
    <row r="384" spans="1:6" x14ac:dyDescent="0.25">
      <c r="A384" t="s">
        <v>65</v>
      </c>
      <c r="B384" s="45" t="s">
        <v>2410</v>
      </c>
      <c r="C384" s="45" t="s">
        <v>2411</v>
      </c>
      <c r="D384" s="45"/>
      <c r="F384" s="45">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D99753F69ADA4389DB07F4AE653F4C" ma:contentTypeVersion="16" ma:contentTypeDescription="Create a new document." ma:contentTypeScope="" ma:versionID="f7e870b656ca74cd0f61769169f6e0ad">
  <xsd:schema xmlns:xsd="http://www.w3.org/2001/XMLSchema" xmlns:xs="http://www.w3.org/2001/XMLSchema" xmlns:p="http://schemas.microsoft.com/office/2006/metadata/properties" xmlns:ns3="7394a865-cd5e-404e-839e-91db4d0e5034" xmlns:ns4="37a7de27-2ac1-4ca4-9cdb-a15059805f31" targetNamespace="http://schemas.microsoft.com/office/2006/metadata/properties" ma:root="true" ma:fieldsID="4274f77bac31bfcecdfcfd0a1e7d688d" ns3:_="" ns4:_="">
    <xsd:import namespace="7394a865-cd5e-404e-839e-91db4d0e5034"/>
    <xsd:import namespace="37a7de27-2ac1-4ca4-9cdb-a15059805f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4a865-cd5e-404e-839e-91db4d0e5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a7de27-2ac1-4ca4-9cdb-a15059805f3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394a865-cd5e-404e-839e-91db4d0e5034" xsi:nil="true"/>
  </documentManagement>
</p:properties>
</file>

<file path=customXml/itemProps1.xml><?xml version="1.0" encoding="utf-8"?>
<ds:datastoreItem xmlns:ds="http://schemas.openxmlformats.org/officeDocument/2006/customXml" ds:itemID="{E61E0ACC-5E8B-4AB8-A7E2-74CA414FE2C1}">
  <ds:schemaRefs>
    <ds:schemaRef ds:uri="http://schemas.microsoft.com/sharepoint/v3/contenttype/forms"/>
  </ds:schemaRefs>
</ds:datastoreItem>
</file>

<file path=customXml/itemProps2.xml><?xml version="1.0" encoding="utf-8"?>
<ds:datastoreItem xmlns:ds="http://schemas.openxmlformats.org/officeDocument/2006/customXml" ds:itemID="{B14A4889-19FF-43B0-9E2E-0669DF0EE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4a865-cd5e-404e-839e-91db4d0e5034"/>
    <ds:schemaRef ds:uri="37a7de27-2ac1-4ca4-9cdb-a15059805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1B79A-F903-4465-A137-81C80F623748}">
  <ds:schemaRefs>
    <ds:schemaRef ds:uri="http://schemas.microsoft.com/office/2006/metadata/properties"/>
    <ds:schemaRef ds:uri="http://schemas.microsoft.com/office/infopath/2007/PartnerControls"/>
    <ds:schemaRef ds:uri="7394a865-cd5e-404e-839e-91db4d0e50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external_choices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Wangoru Kihara</dc:creator>
  <cp:keywords/>
  <dc:description/>
  <cp:lastModifiedBy>Ibayi, Eugine (ILRI)</cp:lastModifiedBy>
  <cp:revision/>
  <dcterms:created xsi:type="dcterms:W3CDTF">2022-10-16T02:14:25Z</dcterms:created>
  <dcterms:modified xsi:type="dcterms:W3CDTF">2023-10-04T14:27:59Z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0x010100EDD99753F69ADA4389DB07F4AE653F4C</vt:lpwstr>
  </property>
</Properties>
</file>